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drawings/drawing8.xml" ContentType="application/vnd.openxmlformats-officedocument.drawing+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27.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hidePivotFieldList="1"/>
  <mc:AlternateContent xmlns:mc="http://schemas.openxmlformats.org/markup-compatibility/2006">
    <mc:Choice Requires="x15">
      <x15ac:absPath xmlns:x15ac="http://schemas.microsoft.com/office/spreadsheetml/2010/11/ac" url="\\heart.sefep.lan\Allmende_Energie\06_Projects\2024\2024-26_EU_ETS2_SCF\40_Production_(internal)\Social leasing\60_tool\"/>
    </mc:Choice>
  </mc:AlternateContent>
  <xr:revisionPtr revIDLastSave="0" documentId="13_ncr:1_{E7E1D723-C781-487B-A7B2-29360C453EEE}" xr6:coauthVersionLast="47" xr6:coauthVersionMax="47" xr10:uidLastSave="{00000000-0000-0000-0000-000000000000}"/>
  <workbookProtection workbookAlgorithmName="SHA-512" workbookHashValue="HjBuaWM5vufk3W1NhYhdqMs7z638/P0GvofzsDfZ+dm2HyUcMGvLFRmUKSyADn+NwMPKWRhZftND2lNmvIhr6w==" workbookSaltValue="Tk3fjvaONlexj5i06ziHjw==" workbookSpinCount="100000" lockStructure="1"/>
  <bookViews>
    <workbookView xWindow="19090" yWindow="-3610" windowWidth="38620" windowHeight="21100" tabRatio="722" xr2:uid="{AB77C13E-B756-4315-AE98-4143839C086A}"/>
  </bookViews>
  <sheets>
    <sheet name="Info" sheetId="35" r:id="rId1"/>
    <sheet name="Manual" sheetId="37" r:id="rId2"/>
    <sheet name="Dashboard" sheetId="5" r:id="rId3"/>
    <sheet name="Revenues" sheetId="7" state="hidden" r:id="rId4"/>
    <sheet name="Spending" sheetId="32" state="hidden" r:id="rId5"/>
    <sheet name="Tables" sheetId="27" state="hidden" r:id="rId6"/>
    <sheet name="All-data" sheetId="26" state="hidden" r:id="rId7"/>
  </sheets>
  <externalReferences>
    <externalReference r:id="rId8"/>
    <externalReference r:id="rId9"/>
    <externalReference r:id="rId10"/>
    <externalReference r:id="rId11"/>
    <externalReference r:id="rId12"/>
  </externalReferences>
  <definedNames>
    <definedName name="__123Graph_E" hidden="1">'[1]Bil nat'!#REF!</definedName>
    <definedName name="__123Graph_F" hidden="1">'[1]Bil nat'!#REF!</definedName>
    <definedName name="__123Graph_X" hidden="1">'[1]Bil nat'!#REF!</definedName>
    <definedName name="__q33" hidden="1">{"'Verkehr-Personen'!$A$5:$J$26"}</definedName>
    <definedName name="__r" hidden="1">{"'Verkehr-Personen'!$A$5:$J$26"}</definedName>
    <definedName name="__r6r6" hidden="1">{"'Verkehr-Personen'!$A$5:$J$26"}</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q33" hidden="1">{"'Verkehr-Personen'!$A$5:$J$26"}</definedName>
    <definedName name="_q34" hidden="1">{"'Verkehr-Personen'!$A$5:$J$26"}</definedName>
    <definedName name="_r" hidden="1">{"'Verkehr-Personen'!$A$5:$J$26"}</definedName>
    <definedName name="_r6r6" hidden="1">{"'Verkehr-Personen'!$A$5:$J$26"}</definedName>
    <definedName name="_xlcn.WorksheetConnection_2502_SCFETS2_Revenues_v3.xlsxAppend2" hidden="1">Append2[]</definedName>
    <definedName name="a" hidden="1">{"'Verkehr-Personen'!$A$5:$J$26"}</definedName>
    <definedName name="aaaa" hidden="1">{"'Verkehr-Personen'!$A$5:$J$26"}</definedName>
    <definedName name="ääääääää" hidden="1">{"'Verkehr-Personen'!$A$5:$J$26"}</definedName>
    <definedName name="aaaaaabb" hidden="1">{"'Verkehr-Personen'!$A$5:$J$26"}</definedName>
    <definedName name="aaws" hidden="1">{"'Verkehr-Personen'!$A$5:$J$26"}</definedName>
    <definedName name="abc" hidden="1">{"'Verkehr-Personen'!$A$5:$J$26"}</definedName>
    <definedName name="abssoll" hidden="1">{"'Verkehr-Personen'!$A$5:$J$26"}</definedName>
    <definedName name="achtele" hidden="1">{"'Verkehr-Personen'!$A$5:$J$26"}</definedName>
    <definedName name="aeffle" hidden="1">{"'Verkehr-Personen'!$A$5:$J$26"}</definedName>
    <definedName name="aejrpfyk" hidden="1">{"'Verkehr-Personen'!$A$5:$J$26"}</definedName>
    <definedName name="akaiserkoenig" hidden="1">{"'Verkehr-Personen'!$A$5:$J$26"}</definedName>
    <definedName name="alexander" hidden="1">{"'Verkehr-Personen'!$A$5:$J$26"}</definedName>
    <definedName name="allesgestreift" hidden="1">{"'Verkehr-Personen'!$A$5:$J$26"}</definedName>
    <definedName name="alpen" hidden="1">{"'Verkehr-Personen'!$A$5:$J$26"}</definedName>
    <definedName name="alpenle" hidden="1">{"'Verkehr-Personen'!$A$5:$J$26"}</definedName>
    <definedName name="alple" hidden="1">{"'Verkehr-Personen'!$A$5:$J$26"}</definedName>
    <definedName name="amadeus" hidden="1">{"'Verkehr-Personen'!$A$5:$J$26"}</definedName>
    <definedName name="amdicksten" hidden="1">{"'Verkehr-Personen'!$A$5:$J$26"}</definedName>
    <definedName name="Anne" hidden="1">{"'Verkehr-Personen'!$A$5:$J$26"}</definedName>
    <definedName name="annemarie" hidden="1">{"'Verkehr-Personen'!$A$5:$J$26"}</definedName>
    <definedName name="Anti" hidden="1">{"'Verkehr-Personen'!$A$5:$J$26"}</definedName>
    <definedName name="Anton" hidden="1">{"'Verkehr-Personen'!$A$5:$J$26"}</definedName>
    <definedName name="anzug" hidden="1">{"'Verkehr-Personen'!$A$5:$J$26"}</definedName>
    <definedName name="ardnerle" hidden="1">{"'Verkehr-Personen'!$A$5:$J$26"}</definedName>
    <definedName name="arsch" hidden="1">{"'Verkehr-Personen'!$A$5:$J$26"}</definedName>
    <definedName name="asang" hidden="1">{"'Verkehr-Personen'!$A$5:$J$26"}</definedName>
    <definedName name="asdwae" hidden="1">{"'Verkehr-Personen'!$A$5:$J$26"}</definedName>
    <definedName name="assd" hidden="1">{"'Verkehr-Personen'!$A$5:$J$26"}</definedName>
    <definedName name="aubtob" hidden="1">{"'Verkehr-Personen'!$A$5:$J$26"}</definedName>
    <definedName name="aues" hidden="1">{"'Verkehr-Personen'!$A$5:$J$26"}</definedName>
    <definedName name="Auto" hidden="1">{"'Verkehr-Personen'!$A$5:$J$26"}</definedName>
    <definedName name="autob" hidden="1">{"'Verkehr-Personen'!$A$5:$J$26"}</definedName>
    <definedName name="awer" hidden="1">{"'Verkehr-Personen'!$A$5:$J$26"}</definedName>
    <definedName name="awesdf" hidden="1">{"'Verkehr-Personen'!$A$5:$J$26"}</definedName>
    <definedName name="aylk" hidden="1">{"'Verkehr-Personen'!$A$5:$J$26"}</definedName>
    <definedName name="aysdxcb" hidden="1">{"'Verkehr-Personen'!$A$5:$J$26"}</definedName>
    <definedName name="b" hidden="1">{#N/A,#N/A,FALSE,"Mecklenburg-Vorpommern"}</definedName>
    <definedName name="babi" hidden="1">{"'Verkehr-Personen'!$A$5:$J$26"}</definedName>
    <definedName name="babiliele" hidden="1">{"'Verkehr-Personen'!$A$5:$J$26"}</definedName>
    <definedName name="bachle" hidden="1">{"'Verkehr-Personen'!$A$5:$J$26"}</definedName>
    <definedName name="bahnkard" hidden="1">{"'Verkehr-Personen'!$A$5:$J$26"}</definedName>
    <definedName name="bahnkrateeeen" hidden="1">{"'Verkehr-Personen'!$A$5:$J$26"}</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earbeiten" hidden="1">{"'Verkehr-Personen'!$A$5:$J$26"}</definedName>
    <definedName name="behalten" hidden="1">{"'Verkehr-Personen'!$A$5:$J$26"}</definedName>
    <definedName name="beierle" hidden="1">{"'Verkehr-Personen'!$A$5:$J$26"}</definedName>
    <definedName name="bekommendndnd" hidden="1">{"'Verkehr-Personen'!$A$5:$J$26"}</definedName>
    <definedName name="beleibt" hidden="1">{"'Verkehr-Personen'!$A$5:$J$26"}</definedName>
    <definedName name="belibt" hidden="1">{"'Verkehr-Personen'!$A$5:$J$26"}</definedName>
    <definedName name="benz" hidden="1">{"'Verkehr-Personen'!$A$5:$J$26"}</definedName>
    <definedName name="Benzin_CO2_in_EUR_je_Liter">#REF!</definedName>
    <definedName name="Bernd" hidden="1">{"'Verkehr-Personen'!$A$5:$J$26"}</definedName>
    <definedName name="Beschriftung">OFFSET([2]Daten!$B$10,0,0,COUNTA([2]Daten!$B$10:$B$24),-1)</definedName>
    <definedName name="Beschriftung2">OFFSET(#REF!,0,0,COUNTA(#REF!),-1)</definedName>
    <definedName name="Beschriftung3">OFFSET(#REF!,0,0,COUNTA(#REF!),-1)</definedName>
    <definedName name="bettle" hidden="1">{"'Verkehr-Personen'!$A$5:$J$26"}</definedName>
    <definedName name="bettt" hidden="1">{"'Verkehr-Personen'!$A$5:$J$26"}</definedName>
    <definedName name="birbitkommt" hidden="1">{"'Verkehr-Personen'!$A$5:$J$26"}</definedName>
    <definedName name="birger" hidden="1">{"'Verkehr-Personen'!$A$5:$J$26"}</definedName>
    <definedName name="birgerle" hidden="1">{"'Verkehr-Personen'!$A$5:$J$26"}</definedName>
    <definedName name="birgitkommt" hidden="1">{"'Verkehr-Personen'!$A$5:$J$26"}</definedName>
    <definedName name="bismarck" hidden="1">{"'Verkehr-Personen'!$A$5:$J$26"}</definedName>
    <definedName name="blaeee" hidden="1">{"'Verkehr-Personen'!$A$5:$J$26"}</definedName>
    <definedName name="blaettle" hidden="1">{"'Verkehr-Personen'!$A$5:$J$26"}</definedName>
    <definedName name="blaettlelein" hidden="1">{"'Verkehr-Personen'!$A$5:$J$26"}</definedName>
    <definedName name="blattt" hidden="1">{"'Verkehr-Personen'!$A$5:$J$26"}</definedName>
    <definedName name="blattttttttt" hidden="1">{"'Verkehr-Personen'!$A$5:$J$26"}</definedName>
    <definedName name="blauaeugig" hidden="1">{"'Verkehr-Personen'!$A$5:$J$26"}</definedName>
    <definedName name="blaueaugen" hidden="1">{"'Verkehr-Personen'!$A$5:$J$26"}</definedName>
    <definedName name="blaueswunder" hidden="1">{"'Verkehr-Personen'!$A$5:$J$26"}</definedName>
    <definedName name="blederfilm" hidden="1">{"'Verkehr-Personen'!$A$5:$J$26"}</definedName>
    <definedName name="bloed" hidden="1">{"'Verkehr-Personen'!$A$5:$J$26"}</definedName>
    <definedName name="bloedeleut" hidden="1">{"'Verkehr-Personen'!$A$5:$J$26"}</definedName>
    <definedName name="blondehaare" hidden="1">{"'Verkehr-Personen'!$A$5:$J$26"}</definedName>
    <definedName name="blueht" hidden="1">{"'Verkehr-Personen'!$A$5:$J$26"}</definedName>
    <definedName name="bluesele" hidden="1">{"'Verkehr-Personen'!$A$5:$J$26"}</definedName>
    <definedName name="blume" hidden="1">{"'Verkehr-Personen'!$A$5:$J$26"}</definedName>
    <definedName name="blumenkohl" hidden="1">{"'Verkehr-Personen'!$A$5:$J$26"}</definedName>
    <definedName name="bluse" hidden="1">{"'Verkehr-Personen'!$A$5:$J$26"}</definedName>
    <definedName name="blutwurst" hidden="1">{"'Verkehr-Personen'!$A$5:$J$26"}</definedName>
    <definedName name="blutwurstleinilein" hidden="1">{"'Verkehr-Personen'!$A$5:$J$26"}</definedName>
    <definedName name="blutwurtst" hidden="1">{"'Verkehr-Personen'!$A$5:$J$26"}</definedName>
    <definedName name="boenisch" hidden="1">{"'Verkehr-Personen'!$A$5:$J$26"}</definedName>
    <definedName name="braun" hidden="1">{"'Verkehr-Personen'!$A$5:$J$26"}</definedName>
    <definedName name="braunäugig" hidden="1">{"'Verkehr-Personen'!$A$5:$J$26"}</definedName>
    <definedName name="braunschwarz" hidden="1">{"'Verkehr-Personen'!$A$5:$J$26"}</definedName>
    <definedName name="brot" hidden="1">{"'Verkehr-Personen'!$A$5:$J$26"}</definedName>
    <definedName name="Bruno" hidden="1">{"'Verkehr-Personen'!$A$5:$J$26"}</definedName>
    <definedName name="brunokommt" hidden="1">{"'Verkehr-Personen'!$A$5:$J$26"}</definedName>
    <definedName name="brunokommtbald" hidden="1">{"'Verkehr-Personen'!$A$5:$J$26"}</definedName>
    <definedName name="brunoossososoososos" hidden="1">{"'Verkehr-Personen'!$A$5:$J$26"}</definedName>
    <definedName name="brustkrebs" hidden="1">{"'Verkehr-Personen'!$A$5:$J$26"}</definedName>
    <definedName name="bsmarckle" hidden="1">{"'Verkehr-Personen'!$A$5:$J$26"}</definedName>
    <definedName name="bycicle" hidden="1">{"'Verkehr-Personen'!$A$5:$J$26"}</definedName>
    <definedName name="callas" hidden="1">{"'Verkehr-Personen'!$A$5:$J$26"}</definedName>
    <definedName name="callasle" hidden="1">{"'Verkehr-Personen'!$A$5:$J$26"}</definedName>
    <definedName name="ccc" hidden="1">{"'Verkehr-Personen'!$A$5:$J$26"}</definedName>
    <definedName name="ccccccccccccc" hidden="1">{"'Verkehr-Personen'!$A$5:$J$26"}</definedName>
    <definedName name="cccccccccccccc" hidden="1">{"'Verkehr-Personen'!$A$5:$J$26"}</definedName>
    <definedName name="chen" hidden="1">{"'Verkehr-Personen'!$A$5:$J$26"}</definedName>
    <definedName name="Chris" hidden="1">{"'Verkehr-Personen'!$A$5:$J$26"}</definedName>
    <definedName name="citroen" hidden="1">{"'Verkehr-Personen'!$A$5:$J$26"}</definedName>
    <definedName name="cola" hidden="1">{"'Verkehr-Personen'!$A$5:$J$26"}</definedName>
    <definedName name="coladdd" hidden="1">{"'Verkehr-Personen'!$A$5:$J$26"}</definedName>
    <definedName name="collalslslsls" hidden="1">{"'Verkehr-Personen'!$A$5:$J$26"}</definedName>
    <definedName name="Conny" hidden="1">{"'Verkehr-Personen'!$A$5:$J$26"}</definedName>
    <definedName name="d" hidden="1">{"nach Förderung",#N/A,FALSE,"Länder Gesamt"}</definedName>
    <definedName name="dani" hidden="1">{"'Verkehr-Personen'!$A$5:$J$26"}</definedName>
    <definedName name="daniel" hidden="1">{"'Verkehr-Personen'!$A$5:$J$26"}</definedName>
    <definedName name="darmkrebs" hidden="1">{"'Verkehr-Personen'!$A$5:$J$26"}</definedName>
    <definedName name="dasistzumauswachsen" hidden="1">{"'Verkehr-Personen'!$A$5:$J$26"}</definedName>
    <definedName name="dasitpuppe" hidden="1">{"'Verkehr-Personen'!$A$5:$J$26"}</definedName>
    <definedName name="Daten01">OFFSET([2]Daten!$C$10,0,0,COUNTA([2]Daten!$C$10:$C$24),-1)</definedName>
    <definedName name="Daten02">OFFSET([2]Daten!$D$10,0,0,COUNTA([2]Daten!$D$10:$D$24),-1)</definedName>
    <definedName name="Daten03">OFFSET([2]Daten!$E$10,0,0,COUNTA([2]Daten!$E$10:$E$24),-1)</definedName>
    <definedName name="Daten04">OFFSET([2]Daten!$F$10,0,0,COUNTA([2]Daten!$F$10:$F$24),-1)</definedName>
    <definedName name="Daten05">OFFSET([2]Daten!$G$10,0,0,COUNTA([2]Daten!$G$10:$G$24),-1)</definedName>
    <definedName name="Daten06">OFFSET([2]Daten!$H$10,0,0,COUNTA([2]Daten!$H$10:$H$24),-1)</definedName>
    <definedName name="Daten07">OFFSET([2]Daten!$I$10,0,0,COUNTA([2]Daten!$I$10:$I$24),-1)</definedName>
    <definedName name="Daten08">OFFSET([2]Daten!$J$10,0,0,COUNTA([2]Daten!$J$10:$J$24),-1)</definedName>
    <definedName name="Daten09">OFFSET([2]Daten!$K$10,0,0,COUNTA([2]Daten!$K$10:$K$24),-1)</definedName>
    <definedName name="Daten10">OFFSET([2]Daten!$L$10,0,0,COUNTA([2]Daten!$L$10:$L$24),-1)</definedName>
    <definedName name="dddd" hidden="1">{"'Verkehr-Personen'!$A$5:$J$26"}</definedName>
    <definedName name="dddddddddddddddoof" hidden="1">{"'Verkehr-Personen'!$A$5:$J$26"}</definedName>
    <definedName name="dddddddddddddpeope" hidden="1">{"'Verkehr-Personen'!$A$5:$J$26"}</definedName>
    <definedName name="ddddrrr" hidden="1">{"'Verkehr-Personen'!$A$5:$J$26"}</definedName>
    <definedName name="dddoooooooooood" hidden="1">{"'Verkehr-Personen'!$A$5:$J$26"}</definedName>
    <definedName name="decke" hidden="1">{"'Verkehr-Personen'!$A$5:$J$26"}</definedName>
    <definedName name="deinle" hidden="1">{"'Verkehr-Personen'!$A$5:$J$26"}</definedName>
    <definedName name="deristdoffff" hidden="1">{"'Verkehr-Personen'!$A$5:$J$26"}</definedName>
    <definedName name="dfgd" hidden="1">{"'Verkehr-Personen'!$A$5:$J$26"}</definedName>
    <definedName name="dfsd" hidden="1">{"'Verkehr-Personen'!$A$5:$J$26"}</definedName>
    <definedName name="Diagramm5">[3]EB97_Zahlen_für_Grafiken!$A$11:$S$24</definedName>
    <definedName name="dick" hidden="1">{"'Verkehr-Personen'!$A$5:$J$26"}</definedName>
    <definedName name="dicklich" hidden="1">{"'Verkehr-Personen'!$A$5:$J$26"}</definedName>
    <definedName name="didididide" hidden="1">{"'Verkehr-Personen'!$A$5:$J$26"}</definedName>
    <definedName name="Diesel_CO2_in_EUR_je_Liter">#REF!</definedName>
    <definedName name="Dieter" hidden="1">{"'Verkehr-Personen'!$A$5:$J$26"}</definedName>
    <definedName name="diewohnen" hidden="1">{"'Verkehr-Personen'!$A$5:$J$26"}</definedName>
    <definedName name="Diff" hidden="1">{"'Verkehr-Personen'!$A$5:$J$26"}</definedName>
    <definedName name="Diff_Kosten">#REF!</definedName>
    <definedName name="doch" hidden="1">{"'Verkehr-Personen'!$A$5:$J$26"}</definedName>
    <definedName name="doddddddddddddddddddddd" hidden="1">{"'Verkehr-Personen'!$A$5:$J$26"}</definedName>
    <definedName name="dof" hidden="1">{"'Verkehr-Personen'!$A$5:$J$26"}</definedName>
    <definedName name="dofile" hidden="1">{"'Verkehr-Personen'!$A$5:$J$26"}</definedName>
    <definedName name="dofundbleod" hidden="1">{"'Verkehr-Personen'!$A$5:$J$26"}</definedName>
    <definedName name="dofunddaemlich" hidden="1">{"'Verkehr-Personen'!$A$5:$J$26"}</definedName>
    <definedName name="Dooof" hidden="1">{"'Verkehr-Personen'!$A$5:$J$26"}</definedName>
    <definedName name="dorenhecke" hidden="1">{"'Verkehr-Personen'!$A$5:$J$26"}</definedName>
    <definedName name="dpppppppppppp" hidden="1">{"'Verkehr-Personen'!$A$5:$J$26"}</definedName>
    <definedName name="drehen" hidden="1">{"'Verkehr-Personen'!$A$5:$J$26"}</definedName>
    <definedName name="drrdrtirt" hidden="1">{"'Verkehr-Personen'!$A$5:$J$26"}</definedName>
    <definedName name="drtzfgjh" hidden="1">{"'Verkehr-Personen'!$A$5:$J$26"}</definedName>
    <definedName name="dummundbloed" hidden="1">{"'Verkehr-Personen'!$A$5:$J$26"}</definedName>
    <definedName name="dunkelrot" hidden="1">{"'Verkehr-Personen'!$A$5:$J$26"}</definedName>
    <definedName name="dunkelrotbraun" hidden="1">{"'Verkehr-Personen'!$A$5:$J$26"}</definedName>
    <definedName name="dunkelrotglelb" hidden="1">{"'Verkehr-Personen'!$A$5:$J$26"}</definedName>
    <definedName name="dyx" hidden="1">{"'Verkehr-Personen'!$A$5:$J$26"}</definedName>
    <definedName name="e" hidden="1">{"nach Ländern",#N/A,FALSE,"Länder Gesamt"}</definedName>
    <definedName name="Edith" hidden="1">{"'Verkehr-Personen'!$A$5:$J$26"}</definedName>
    <definedName name="eeeeeeeeeee" hidden="1">{"'Verkehr-Personen'!$A$5:$J$26"}</definedName>
    <definedName name="EEG_Umlage">#REF!</definedName>
    <definedName name="efrzfrz" hidden="1">{"'Verkehr-Personen'!$A$5:$J$26"}</definedName>
    <definedName name="egdf" hidden="1">{"'Verkehr-Personen'!$A$5:$J$26"}</definedName>
    <definedName name="egfd" hidden="1">{"'Verkehr-Personen'!$A$5:$J$26"}</definedName>
    <definedName name="einkauf" hidden="1">{"'Verkehr-Personen'!$A$5:$J$26"}</definedName>
    <definedName name="einkaufen" hidden="1">{"'Verkehr-Personen'!$A$5:$J$26"}</definedName>
    <definedName name="elsasser" hidden="1">{"'Verkehr-Personen'!$A$5:$J$26"}</definedName>
    <definedName name="embolie" hidden="1">{"'Verkehr-Personen'!$A$5:$J$26"}</definedName>
    <definedName name="enelbert" hidden="1">{"'Verkehr-Personen'!$A$5:$J$26"}</definedName>
    <definedName name="erdfb" hidden="1">{"'Verkehr-Personen'!$A$5:$J$26"}</definedName>
    <definedName name="erdfbxc" hidden="1">{"'Verkehr-Personen'!$A$5:$J$26"}</definedName>
    <definedName name="Erdgas_CO2_in_EUR_je_kWh">#REF!</definedName>
    <definedName name="erdxc" hidden="1">{"'Verkehr-Personen'!$A$5:$J$26"}</definedName>
    <definedName name="ERG" hidden="1">{"'Verkehr-Personen'!$A$5:$J$26"}</definedName>
    <definedName name="ernte" hidden="1">{"'Verkehr-Personen'!$A$5:$J$26"}</definedName>
    <definedName name="esdf" hidden="1">{"'Verkehr-Personen'!$A$5:$J$26"}</definedName>
    <definedName name="esele" hidden="1">{"'Verkehr-Personen'!$A$5:$J$26"}</definedName>
    <definedName name="esreicht" hidden="1">{"'Verkehr-Personen'!$A$5:$J$26"}</definedName>
    <definedName name="esreichtle" hidden="1">{"'Verkehr-Personen'!$A$5:$J$26"}</definedName>
    <definedName name="esreichtwirklich" hidden="1">{"'Verkehr-Personen'!$A$5:$J$26"}</definedName>
    <definedName name="esreichtwirklichun" hidden="1">{"'Verkehr-Personen'!$A$5:$J$26"}</definedName>
    <definedName name="esreichtwirklllll" hidden="1">{"'Verkehr-Personen'!$A$5:$J$26"}</definedName>
    <definedName name="esreichwirkli" hidden="1">{"'Verkehr-Personen'!$A$5:$J$26"}</definedName>
    <definedName name="etfg" hidden="1">{"'Verkehr-Personen'!$A$5:$J$26"}</definedName>
    <definedName name="ewsd" hidden="1">{"'Verkehr-Personen'!$A$5:$J$26"}</definedName>
    <definedName name="ewsdxc" hidden="1">{"'Verkehr-Personen'!$A$5:$J$26"}</definedName>
    <definedName name="ewsgdxvc" hidden="1">{"'Verkehr-Personen'!$A$5:$J$26"}</definedName>
    <definedName name="ExternalData_3" localSheetId="6" hidden="1">'All-data'!$A$1:$Y$5043</definedName>
    <definedName name="farttten" hidden="1">{"'Verkehr-Personen'!$A$5:$J$26"}</definedName>
    <definedName name="fcg" hidden="1">{"'Verkehr-Personen'!$A$5:$J$26"}</definedName>
    <definedName name="fehlerhaft" hidden="1">{"'Verkehr-Personen'!$A$5:$J$26"}</definedName>
    <definedName name="fenster" hidden="1">{"'Verkehr-Personen'!$A$5:$J$26"}</definedName>
    <definedName name="fensterle" hidden="1">{"'Verkehr-Personen'!$A$5:$J$26"}</definedName>
    <definedName name="fernsehen" hidden="1">{"'Verkehr-Personen'!$A$5:$J$26"}</definedName>
    <definedName name="ferro" hidden="1">{"'Verkehr-Personen'!$A$5:$J$26"}</definedName>
    <definedName name="fesr" hidden="1">{"'Verkehr-Personen'!$A$5:$J$26"}</definedName>
    <definedName name="fettte" hidden="1">{"'Verkehr-Personen'!$A$5:$J$26"}</definedName>
    <definedName name="fffdf" hidden="1">{"'Verkehr-Personen'!$A$5:$J$26"}</definedName>
    <definedName name="ffffle" hidden="1">{"'Verkehr-Personen'!$A$5:$J$26"}</definedName>
    <definedName name="fliegerle" hidden="1">{"'Verkehr-Personen'!$A$5:$J$26"}</definedName>
    <definedName name="flugzeug" hidden="1">{"'Verkehr-Personen'!$A$5:$J$26"}</definedName>
    <definedName name="forst" hidden="1">{"'Verkehr-Personen'!$A$5:$J$26"}</definedName>
    <definedName name="foto" hidden="1">{"'Verkehr-Personen'!$A$5:$J$26"}</definedName>
    <definedName name="franken" hidden="1">{"'Verkehr-Personen'!$A$5:$J$26"}</definedName>
    <definedName name="Franz" hidden="1">{"'Verkehr-Personen'!$A$5:$J$26"}</definedName>
    <definedName name="franzle" hidden="1">{"'Verkehr-Personen'!$A$5:$J$26"}</definedName>
    <definedName name="fraugraefin" hidden="1">{"'Verkehr-Personen'!$A$5:$J$26"}</definedName>
    <definedName name="friederich" hidden="1">{"'Verkehr-Personen'!$A$5:$J$26"}</definedName>
    <definedName name="Fritz" hidden="1">{"'Verkehr-Personen'!$A$5:$J$26"}</definedName>
    <definedName name="fruehling" hidden="1">{"'Verkehr-Personen'!$A$5:$J$26"}</definedName>
    <definedName name="fruheherbst" hidden="1">{"'Verkehr-Personen'!$A$5:$J$26"}</definedName>
    <definedName name="fuehlen" hidden="1">{"'Verkehr-Personen'!$A$5:$J$26"}</definedName>
    <definedName name="fuesse" hidden="1">{"'Verkehr-Personen'!$A$5:$J$26"}</definedName>
    <definedName name="gabriele" hidden="1">{"'Verkehr-Personen'!$A$5:$J$26"}</definedName>
    <definedName name="gabrieleferro" hidden="1">{"'Verkehr-Personen'!$A$5:$J$26"}</definedName>
    <definedName name="garbrudldldld" hidden="1">{"'Verkehr-Personen'!$A$5:$J$26"}</definedName>
    <definedName name="garbruek" hidden="1">{"'Verkehr-Personen'!$A$5:$J$26"}</definedName>
    <definedName name="gegeloiej" hidden="1">{"'Verkehr-Personen'!$A$5:$J$26"}</definedName>
    <definedName name="gelb" hidden="1">{"'Verkehr-Personen'!$A$5:$J$26"}</definedName>
    <definedName name="gelbswusurstt" hidden="1">{"'Verkehr-Personen'!$A$5:$J$26"}</definedName>
    <definedName name="gelbwurtst" hidden="1">{"'Verkehr-Personen'!$A$5:$J$26"}</definedName>
    <definedName name="gemuetttttllelele" hidden="1">{"'Verkehr-Personen'!$A$5:$J$26"}</definedName>
    <definedName name="gemutleie" hidden="1">{"'Verkehr-Personen'!$A$5:$J$26"}</definedName>
    <definedName name="gemutlicheeeeeee" hidden="1">{"'Verkehr-Personen'!$A$5:$J$26"}</definedName>
    <definedName name="germane" hidden="1">{"'Verkehr-Personen'!$A$5:$J$26"}</definedName>
    <definedName name="germanen" hidden="1">{"'Verkehr-Personen'!$A$5:$J$26"}</definedName>
    <definedName name="gescheidle" hidden="1">{"'Verkehr-Personen'!$A$5:$J$26"}</definedName>
    <definedName name="geschichtle" hidden="1">{"'Verkehr-Personen'!$A$5:$J$26"}</definedName>
    <definedName name="gestreift" hidden="1">{"'Verkehr-Personen'!$A$5:$J$26"}</definedName>
    <definedName name="Geweiter" hidden="1">{"'Verkehr-Personen'!$A$5:$J$26"}</definedName>
    <definedName name="gewitter" hidden="1">{"'Verkehr-Personen'!$A$5:$J$26"}</definedName>
    <definedName name="gges" hidden="1">{"'Verkehr-Personen'!$A$5:$J$26"}</definedName>
    <definedName name="glems" hidden="1">{"'Verkehr-Personen'!$A$5:$J$26"}</definedName>
    <definedName name="glemsle" hidden="1">{"'Verkehr-Personen'!$A$5:$J$26"}</definedName>
    <definedName name="glockenblume" hidden="1">{"'Verkehr-Personen'!$A$5:$J$26"}</definedName>
    <definedName name="glotzen" hidden="1">{"'Verkehr-Personen'!$A$5:$J$26"}</definedName>
    <definedName name="goethe" hidden="1">{"'Verkehr-Personen'!$A$5:$J$26"}</definedName>
    <definedName name="goethele" hidden="1">{"'Verkehr-Personen'!$A$5:$J$26"}</definedName>
    <definedName name="gotthardle" hidden="1">{"'Verkehr-Personen'!$A$5:$J$26"}</definedName>
    <definedName name="graf" hidden="1">{"'Verkehr-Personen'!$A$5:$J$26"}</definedName>
    <definedName name="grafle" hidden="1">{"'Verkehr-Personen'!$A$5:$J$26"}</definedName>
    <definedName name="grauaugigig" hidden="1">{"'Verkehr-Personen'!$A$5:$J$26"}</definedName>
    <definedName name="griechen" hidden="1">{"'Verkehr-Personen'!$A$5:$J$26"}</definedName>
    <definedName name="griecheneee" hidden="1">{"'Verkehr-Personen'!$A$5:$J$26"}</definedName>
    <definedName name="griechenland" hidden="1">{"'Verkehr-Personen'!$A$5:$J$26"}</definedName>
    <definedName name="griechenlandddddddd" hidden="1">{"'Verkehr-Personen'!$A$5:$J$26"}</definedName>
    <definedName name="griechenlllsop" hidden="1">{"'Verkehr-Personen'!$A$5:$J$26"}</definedName>
    <definedName name="griechenrr" hidden="1">{"'Verkehr-Personen'!$A$5:$J$26"}</definedName>
    <definedName name="grieckk" hidden="1">{"'Verkehr-Personen'!$A$5:$J$26"}</definedName>
    <definedName name="griessss" hidden="1">{"'Verkehr-Personen'!$A$5:$J$26"}</definedName>
    <definedName name="grocjemöamd" hidden="1">{"'Verkehr-Personen'!$A$5:$J$26"}</definedName>
    <definedName name="grotagnda" hidden="1">{"'Verkehr-Personen'!$A$5:$J$26"}</definedName>
    <definedName name="gruen" hidden="1">{"'Verkehr-Personen'!$A$5:$J$26"}</definedName>
    <definedName name="gruenaegui" hidden="1">{"'Verkehr-Personen'!$A$5:$J$26"}</definedName>
    <definedName name="grunblau" hidden="1">{"'Verkehr-Personen'!$A$5:$J$26"}</definedName>
    <definedName name="gruneweiss" hidden="1">{"'Verkehr-Personen'!$A$5:$J$26"}</definedName>
    <definedName name="grungelb" hidden="1">{"'Verkehr-Personen'!$A$5:$J$26"}</definedName>
    <definedName name="gtvbjk" hidden="1">{"'Verkehr-Personen'!$A$5:$J$26"}</definedName>
    <definedName name="guetle" hidden="1">{"'Verkehr-Personen'!$A$5:$J$26"}</definedName>
    <definedName name="gut" hidden="1">{"'Verkehr-Personen'!$A$5:$J$26"}</definedName>
    <definedName name="gutle" hidden="1">{"'Verkehr-Personen'!$A$5:$J$26"}</definedName>
    <definedName name="habs" hidden="1">{"'Verkehr-Personen'!$A$5:$J$26"}</definedName>
    <definedName name="habsburg" hidden="1">{"'Verkehr-Personen'!$A$5:$J$26"}</definedName>
    <definedName name="haeberle" hidden="1">{"'Verkehr-Personen'!$A$5:$J$26"}</definedName>
    <definedName name="hanna" hidden="1">{"'Verkehr-Personen'!$A$5:$J$26"}</definedName>
    <definedName name="hannele" hidden="1">{"'Verkehr-Personen'!$A$5:$J$26"}</definedName>
    <definedName name="haufle" hidden="1">{"'Verkehr-Personen'!$A$5:$J$26"}</definedName>
    <definedName name="hausle" hidden="1">{"'Verkehr-Personen'!$A$5:$J$26"}</definedName>
    <definedName name="hausleleinielein" hidden="1">{"'Verkehr-Personen'!$A$5:$J$26"}</definedName>
    <definedName name="hautkrebs" hidden="1">{"'Verkehr-Personen'!$A$5:$J$26"}</definedName>
    <definedName name="heckenle" hidden="1">{"'Verkehr-Personen'!$A$5:$J$26"}</definedName>
    <definedName name="heia" hidden="1">{"'Verkehr-Personen'!$A$5:$J$26"}</definedName>
    <definedName name="heinrich" hidden="1">{"'Verkehr-Personen'!$A$5:$J$26"}</definedName>
    <definedName name="Heizöl_CO2_in_EUR_je_Liter">#REF!</definedName>
    <definedName name="heldelfingen" hidden="1">{"'Verkehr-Personen'!$A$5:$J$26"}</definedName>
    <definedName name="hemmingway" hidden="1">{"'Verkehr-Personen'!$A$5:$J$26"}</definedName>
    <definedName name="herbst" hidden="1">{"'Verkehr-Personen'!$A$5:$J$26"}</definedName>
    <definedName name="herzkrebs" hidden="1">{"'Verkehr-Personen'!$A$5:$J$26"}</definedName>
    <definedName name="herzlogle" hidden="1">{"'Verkehr-Personen'!$A$5:$J$26"}</definedName>
    <definedName name="herzog" hidden="1">{"'Verkehr-Personen'!$A$5:$J$26"}</definedName>
    <definedName name="heumaden" hidden="1">{"'Verkehr-Personen'!$A$5:$J$26"}</definedName>
    <definedName name="heunenenen" hidden="1">{"'Verkehr-Personen'!$A$5:$J$26"}</definedName>
    <definedName name="hg" hidden="1">{"'Verkehr-Personen'!$A$5:$J$26"}</definedName>
    <definedName name="hhhhhhhhhhh" hidden="1">{"'Verkehr-Personen'!$A$5:$J$26"}</definedName>
    <definedName name="himmel" hidden="1">{"'Verkehr-Personen'!$A$5:$J$26"}</definedName>
    <definedName name="hintern" hidden="1">{"'Verkehr-Personen'!$A$5:$J$26"}</definedName>
    <definedName name="hirsche" hidden="1">{"'Verkehr-Personen'!$A$5:$J$26"}</definedName>
    <definedName name="hl" hidden="1">{"'Verkehr-Personen'!$A$5:$J$26"}</definedName>
    <definedName name="hocker" hidden="1">{"'Verkehr-Personen'!$A$5:$J$26"}</definedName>
    <definedName name="hoclkerll" hidden="1">{"'Verkehr-Personen'!$A$5:$J$26"}</definedName>
    <definedName name="hoeren" hidden="1">{"'Verkehr-Personen'!$A$5:$J$26"}</definedName>
    <definedName name="hohen" hidden="1">{"'Verkehr-Personen'!$A$5:$J$26"}</definedName>
    <definedName name="hohenzoll" hidden="1">{"'Verkehr-Personen'!$A$5:$J$26"}</definedName>
    <definedName name="hohenzollern" hidden="1">{"'Verkehr-Personen'!$A$5:$J$26"}</definedName>
    <definedName name="ht" hidden="1">{"'Verkehr-Personen'!$A$5:$J$26"}</definedName>
    <definedName name="HTML_CodePage" hidden="1">1252</definedName>
    <definedName name="HTML_Control" hidden="1">{"'Verkehr-Personen'!$A$5:$J$26"}</definedName>
    <definedName name="HTML_Description" hidden="1">""</definedName>
    <definedName name="HTML_Email" hidden="1">""</definedName>
    <definedName name="HTML_Header" hidden="1">"Verkehr-Personen"</definedName>
    <definedName name="HTML_LastUpdate" hidden="1">"08-11-00"</definedName>
    <definedName name="HTML_LineAfter" hidden="1">FALSE</definedName>
    <definedName name="HTML_LineBefore" hidden="1">FALSE</definedName>
    <definedName name="HTML_Name" hidden="1">"Uwe R. Fritsche"</definedName>
    <definedName name="HTML_OBDlg2" hidden="1">TRUE</definedName>
    <definedName name="HTML_OBDlg4" hidden="1">TRUE</definedName>
    <definedName name="HTML_OS" hidden="1">0</definedName>
    <definedName name="HTML_PathFile" hidden="1">"D:\Archiv\G4-results Verkehr-P.htm"</definedName>
    <definedName name="HTML_Title" hidden="1">"G4-ergebnisse"</definedName>
    <definedName name="hubschraubern" hidden="1">{"'Verkehr-Personen'!$A$5:$J$26"}</definedName>
    <definedName name="huehnle" hidden="1">{"'Verkehr-Personen'!$A$5:$J$26"}</definedName>
    <definedName name="huendle" hidden="1">{"'Verkehr-Personen'!$A$5:$J$26"}</definedName>
    <definedName name="humbolde" hidden="1">{"'Verkehr-Personen'!$A$5:$J$26"}</definedName>
    <definedName name="hund" hidden="1">{"'Verkehr-Personen'!$A$5:$J$26"}</definedName>
    <definedName name="hundle" hidden="1">{"'Verkehr-Personen'!$A$5:$J$26"}</definedName>
    <definedName name="hunnen" hidden="1">{"'Verkehr-Personen'!$A$5:$J$26"}</definedName>
    <definedName name="i" hidden="1">{"'Verkehr-Personen'!$A$5:$J$26"}</definedName>
    <definedName name="icheerdverrueckt" hidden="1">{"'Verkehr-Personen'!$A$5:$J$26"}</definedName>
    <definedName name="ichhabedieschnauzevoll" hidden="1">{"'Verkehr-Personen'!$A$5:$J$26"}</definedName>
    <definedName name="ichwillnichtmehr" hidden="1">{"'Verkehr-Personen'!$A$5:$J$26"}</definedName>
    <definedName name="igitt" hidden="1">{"'Verkehr-Personen'!$A$5:$J$26"}</definedName>
    <definedName name="ihrle" hidden="1">{"'Verkehr-Personen'!$A$5:$J$26"}</definedName>
    <definedName name="iii" hidden="1">{"'Verkehr-Personen'!$A$5:$J$26"}</definedName>
    <definedName name="iiihgz" hidden="1">{"'Verkehr-Personen'!$A$5:$J$26"}</definedName>
    <definedName name="iiiii" hidden="1">{"'Verkehr-Personen'!$A$5:$J$26"}</definedName>
    <definedName name="iiiiiiiiiiiiiiiiiiii" hidden="1">{"'Verkehr-Personen'!$A$5:$J$26"}</definedName>
    <definedName name="iiiiiiiiiiiiiiiiiiiiiiiiiii" hidden="1">{"'Verkehr-Personen'!$A$5:$J$26"}</definedName>
    <definedName name="ilkm" hidden="1">{"'Verkehr-Personen'!$A$5:$J$26"}</definedName>
    <definedName name="Ilse" hidden="1">{"'Verkehr-Personen'!$A$5:$J$26"}</definedName>
    <definedName name="ioutt" hidden="1">{"'Verkehr-Personen'!$A$5:$J$26"}</definedName>
    <definedName name="irhle" hidden="1">{"'Verkehr-Personen'!$A$5:$J$26"}</definedName>
    <definedName name="irm" hidden="1">{"'Verkehr-Personen'!$A$5:$J$26"}</definedName>
    <definedName name="italien" hidden="1">{"'Verkehr-Personen'!$A$5:$J$26"}</definedName>
    <definedName name="itititi" hidden="1">{"'Verkehr-Personen'!$A$5:$J$26"}</definedName>
    <definedName name="itititititi" hidden="1">{"'Verkehr-Personen'!$A$5:$J$26"}</definedName>
    <definedName name="iuzt" hidden="1">{"'Verkehr-Personen'!$A$5:$J$26"}</definedName>
    <definedName name="iuztrmnbvc" hidden="1">{"'Verkehr-Personen'!$A$5:$J$26"}</definedName>
    <definedName name="izrew" hidden="1">{"'Verkehr-Personen'!$A$5:$J$26"}</definedName>
    <definedName name="jakobus" hidden="1">{"'Verkehr-Personen'!$A$5:$J$26"}</definedName>
    <definedName name="Jantzer" hidden="1">{"'Verkehr-Personen'!$A$5:$J$26"}</definedName>
    <definedName name="jaohann" hidden="1">{"'Verkehr-Personen'!$A$5:$J$26"}</definedName>
    <definedName name="jesusle" hidden="1">{"'Verkehr-Personen'!$A$5:$J$26"}</definedName>
    <definedName name="jeztnicht" hidden="1">{"'Verkehr-Personen'!$A$5:$J$26"}</definedName>
    <definedName name="jghgkri" hidden="1">{"'Verkehr-Personen'!$A$5:$J$26"}</definedName>
    <definedName name="jghz" hidden="1">{"'Verkehr-Personen'!$A$5:$J$26"}</definedName>
    <definedName name="jjsaöjas" hidden="1">{"'Verkehr-Personen'!$A$5:$J$26"}</definedName>
    <definedName name="joachim" hidden="1">{"'Verkehr-Personen'!$A$5:$J$26"}</definedName>
    <definedName name="Joha" hidden="1">{"'Verkehr-Personen'!$A$5:$J$26"}</definedName>
    <definedName name="johanna" hidden="1">{"'Verkehr-Personen'!$A$5:$J$26"}</definedName>
    <definedName name="johannabett" hidden="1">{"'Verkehr-Personen'!$A$5:$J$26"}</definedName>
    <definedName name="johannd" hidden="1">{"'Verkehr-Personen'!$A$5:$J$26"}</definedName>
    <definedName name="johannnnnna" hidden="1">{"'Verkehr-Personen'!$A$5:$J$26"}</definedName>
    <definedName name="johnannawie" hidden="1">{"'Verkehr-Personen'!$A$5:$J$26"}</definedName>
    <definedName name="Josef" hidden="1">{"'Verkehr-Personen'!$A$5:$J$26"}</definedName>
    <definedName name="josefle" hidden="1">{"'Verkehr-Personen'!$A$5:$J$26"}</definedName>
    <definedName name="jqes" hidden="1">{"'Verkehr-Personen'!$A$5:$J$26"}</definedName>
    <definedName name="jublen" hidden="1">{"'Verkehr-Personen'!$A$5:$J$26"}</definedName>
    <definedName name="judas" hidden="1">{"'Verkehr-Personen'!$A$5:$J$26"}</definedName>
    <definedName name="Juergen" hidden="1">{"'Verkehr-Personen'!$A$5:$J$26"}</definedName>
    <definedName name="JUpp" hidden="1">{"'Verkehr-Personen'!$A$5:$J$26"}</definedName>
    <definedName name="kaetzle" hidden="1">{"'Verkehr-Personen'!$A$5:$J$26"}</definedName>
    <definedName name="kaiser" hidden="1">{"'Verkehr-Personen'!$A$5:$J$26"}</definedName>
    <definedName name="kaiserlel" hidden="1">{"'Verkehr-Personen'!$A$5:$J$26"}</definedName>
    <definedName name="kaopfab" hidden="1">{"'Verkehr-Personen'!$A$5:$J$26"}</definedName>
    <definedName name="kariert" hidden="1">{"'Verkehr-Personen'!$A$5:$J$26"}</definedName>
    <definedName name="karl" hidden="1">{"'Verkehr-Personen'!$A$5:$J$26"}</definedName>
    <definedName name="kartoeffel" hidden="1">{"'Verkehr-Personen'!$A$5:$J$26"}</definedName>
    <definedName name="kartoffel" hidden="1">{"'Verkehr-Personen'!$A$5:$J$26"}</definedName>
    <definedName name="kddkkdk" hidden="1">{"'Verkehr-Personen'!$A$5:$J$26"}</definedName>
    <definedName name="kdues" hidden="1">{"'Verkehr-Personen'!$A$5:$J$26"}</definedName>
    <definedName name="kegeln" hidden="1">{"'Verkehr-Personen'!$A$5:$J$26"}</definedName>
    <definedName name="keindle" hidden="1">{"'Verkehr-Personen'!$A$5:$J$26"}</definedName>
    <definedName name="kelten" hidden="1">{"'Verkehr-Personen'!$A$5:$J$26"}</definedName>
    <definedName name="Kerl" hidden="1">{"'Verkehr-Personen'!$A$5:$J$26"}</definedName>
    <definedName name="kersch" hidden="1">{"'Verkehr-Personen'!$A$5:$J$26"}</definedName>
    <definedName name="khgkhkh" hidden="1">{"'Verkehr-Personen'!$A$5:$J$26"}</definedName>
    <definedName name="kind" hidden="1">{"'Verkehr-Personen'!$A$5:$J$26"}</definedName>
    <definedName name="kindeinchen" hidden="1">{"'Verkehr-Personen'!$A$5:$J$26"}</definedName>
    <definedName name="kindle" hidden="1">{"'Verkehr-Personen'!$A$5:$J$26"}</definedName>
    <definedName name="kindleinchen" hidden="1">{"'Verkehr-Personen'!$A$5:$J$26"}</definedName>
    <definedName name="kirstin" hidden="1">{"'Verkehr-Personen'!$A$5:$J$26"}</definedName>
    <definedName name="kirte" hidden="1">{"'Verkehr-Personen'!$A$5:$J$26"}</definedName>
    <definedName name="kjkjkj" hidden="1">{"'Verkehr-Personen'!$A$5:$J$26"}</definedName>
    <definedName name="kjkjkjkgg" hidden="1">{"'Verkehr-Personen'!$A$5:$J$26"}</definedName>
    <definedName name="kjkjkjkjkjjj" hidden="1">{"'Verkehr-Personen'!$A$5:$J$26"}</definedName>
    <definedName name="kjkjuiz" hidden="1">{"'Verkehr-Personen'!$A$5:$J$26"}</definedName>
    <definedName name="kjkzoew" hidden="1">{"'Verkehr-Personen'!$A$5:$J$26"}</definedName>
    <definedName name="kk" hidden="1">{"'Verkehr-Personen'!$A$5:$J$26"}</definedName>
    <definedName name="kkk" hidden="1">{"'Verkehr-Personen'!$A$5:$J$26"}</definedName>
    <definedName name="kkkkk" hidden="1">{"'Verkehr-Personen'!$A$5:$J$26"}</definedName>
    <definedName name="kköüöü" hidden="1">{"'Verkehr-Personen'!$A$5:$J$26"}</definedName>
    <definedName name="klau" hidden="1">{"'Verkehr-Personen'!$A$5:$J$26"}</definedName>
    <definedName name="Klaus" hidden="1">{"'Verkehr-Personen'!$A$5:$J$26"}</definedName>
    <definedName name="Klauspeter" hidden="1">{"'Verkehr-Personen'!$A$5:$J$26"}</definedName>
    <definedName name="kleid" hidden="1">{"'Verkehr-Personen'!$A$5:$J$26"}</definedName>
    <definedName name="kleinundblond" hidden="1">{"'Verkehr-Personen'!$A$5:$J$26"}</definedName>
    <definedName name="klkj" hidden="1">{"'Verkehr-Personen'!$A$5:$J$26"}</definedName>
    <definedName name="koenig" hidden="1">{"'Verkehr-Personen'!$A$5:$J$26"}</definedName>
    <definedName name="koersch" hidden="1">{"'Verkehr-Personen'!$A$5:$J$26"}</definedName>
    <definedName name="komputerle" hidden="1">{"'Verkehr-Personen'!$A$5:$J$26"}</definedName>
    <definedName name="kopf" hidden="1">{"'Verkehr-Personen'!$A$5:$J$26"}</definedName>
    <definedName name="kopfab" hidden="1">{"'Verkehr-Personen'!$A$5:$J$26"}</definedName>
    <definedName name="kopff" hidden="1">{"'Verkehr-Personen'!$A$5:$J$26"}</definedName>
    <definedName name="kopfffab" hidden="1">{"'Verkehr-Personen'!$A$5:$J$26"}</definedName>
    <definedName name="krach" hidden="1">{"'Verkehr-Personen'!$A$5:$J$26"}</definedName>
    <definedName name="kraut" hidden="1">{"'Verkehr-Personen'!$A$5:$J$26"}</definedName>
    <definedName name="krebse" hidden="1">{"'Verkehr-Personen'!$A$5:$J$26"}</definedName>
    <definedName name="krippenle" hidden="1">{"'Verkehr-Personen'!$A$5:$J$26"}</definedName>
    <definedName name="Kriterium_Bereich1">INDIRECT([4]Tool!$J$46)</definedName>
    <definedName name="Kriterium_Bereich2">INDIRECT([4]Tool!$M$46)</definedName>
    <definedName name="Kriterium_Bereich3">INDIRECT([4]Tool!$P$46)</definedName>
    <definedName name="Kriterium_Bereich4">INDIRECT([4]Tool!$S$46)</definedName>
    <definedName name="Kriterium1">'[4]Wirkung CO2-Preis'!$D$15</definedName>
    <definedName name="Kriterium2">'[4]Wirkung CO2-Preis'!$D$16</definedName>
    <definedName name="Kriterium3">'[4]Wirkung CO2-Preis'!$D$17</definedName>
    <definedName name="Kriterium4">'[4]Wirkung CO2-Preis'!$D$18</definedName>
    <definedName name="KriteriumStadtKreisgewählt">[4]Tool!$K$30</definedName>
    <definedName name="ksajfö" hidden="1">{"'Verkehr-Personen'!$A$5:$J$26"}</definedName>
    <definedName name="Kudret" hidden="1">{"'Verkehr-Personen'!$A$5:$J$26"}</definedName>
    <definedName name="kuhftap" hidden="1">{"'Verkehr-Personen'!$A$5:$J$26"}</definedName>
    <definedName name="kuhfu" hidden="1">{"'Verkehr-Personen'!$A$5:$J$26"}</definedName>
    <definedName name="kumpf" hidden="1">{"'Verkehr-Personen'!$A$5:$J$26"}</definedName>
    <definedName name="kunsterle" hidden="1">{"'Verkehr-Personen'!$A$5:$J$26"}</definedName>
    <definedName name="kusnnsopz" hidden="1">{"'Verkehr-Personen'!$A$5:$J$26"}</definedName>
    <definedName name="laendle" hidden="1">{"'Verkehr-Personen'!$A$5:$J$26"}</definedName>
    <definedName name="laödl" hidden="1">{"'Verkehr-Personen'!$A$5:$J$26"}</definedName>
    <definedName name="laufen" hidden="1">{"'Verkehr-Personen'!$A$5:$J$26"}</definedName>
    <definedName name="leon" hidden="1">{"'Verkehr-Personen'!$A$5:$J$26"}</definedName>
    <definedName name="leonie" hidden="1">{"'Verkehr-Personen'!$A$5:$J$26"}</definedName>
    <definedName name="lesen" hidden="1">{"'Verkehr-Personen'!$A$5:$J$26"}</definedName>
    <definedName name="leten" hidden="1">{"'Verkehr-Personen'!$A$5:$J$26"}</definedName>
    <definedName name="liebeleute" hidden="1">{"'Verkehr-Personen'!$A$5:$J$26"}</definedName>
    <definedName name="liederlich" hidden="1">{"'Verkehr-Personen'!$A$5:$J$26"}</definedName>
    <definedName name="liste" hidden="1">{"'Verkehr-Personen'!$A$5:$J$26"}</definedName>
    <definedName name="listennn" hidden="1">{"'Verkehr-Personen'!$A$5:$J$26"}</definedName>
    <definedName name="llflfl" hidden="1">{"'Verkehr-Personen'!$A$5:$J$26"}</definedName>
    <definedName name="llllll" hidden="1">{"'Verkehr-Personen'!$A$5:$J$26"}</definedName>
    <definedName name="llllllllll" hidden="1">{"'Verkehr-Personen'!$A$5:$J$26"}</definedName>
    <definedName name="lllllllllllllll" hidden="1">{"'Verkehr-Personen'!$A$5:$J$26"}</definedName>
    <definedName name="loeten" hidden="1">{"'Verkehr-Personen'!$A$5:$J$26"}</definedName>
    <definedName name="louise" hidden="1">{"'Verkehr-Personen'!$A$5:$J$26"}</definedName>
    <definedName name="luftroehrenkrebs" hidden="1">{"'Verkehr-Personen'!$A$5:$J$26"}</definedName>
    <definedName name="lungen" hidden="1">{"'Verkehr-Personen'!$A$5:$J$26"}</definedName>
    <definedName name="lungenkrebs" hidden="1">{"'Verkehr-Personen'!$A$5:$J$26"}</definedName>
    <definedName name="lungentzuendung" hidden="1">{"'Verkehr-Personen'!$A$5:$J$26"}</definedName>
    <definedName name="ma" hidden="1">{"'Verkehr-Personen'!$A$5:$J$26"}</definedName>
    <definedName name="macle" hidden="1">{"'Verkehr-Personen'!$A$5:$J$26"}</definedName>
    <definedName name="magenkrebs" hidden="1">{"'Verkehr-Personen'!$A$5:$J$26"}</definedName>
    <definedName name="margot" hidden="1">{"'Verkehr-Personen'!$A$5:$J$26"}</definedName>
    <definedName name="maria" hidden="1">{"'Verkehr-Personen'!$A$5:$J$26"}</definedName>
    <definedName name="mariacallas" hidden="1">{"'Verkehr-Personen'!$A$5:$J$26"}</definedName>
    <definedName name="mariale" hidden="1">{"'Verkehr-Personen'!$A$5:$J$26"}</definedName>
    <definedName name="Marie" hidden="1">{"'Verkehr-Personen'!$A$5:$J$26"}</definedName>
    <definedName name="mariechen" hidden="1">{"'Verkehr-Personen'!$A$5:$J$26"}</definedName>
    <definedName name="marion" hidden="1">{"'Verkehr-Personen'!$A$5:$J$26"}</definedName>
    <definedName name="mark" hidden="1">{"'Verkehr-Personen'!$A$5:$J$26"}</definedName>
    <definedName name="markreber" hidden="1">{"'Verkehr-Personen'!$A$5:$J$26"}</definedName>
    <definedName name="mary" hidden="1">{"'Verkehr-Personen'!$A$5:$J$26"}</definedName>
    <definedName name="maryreberle" hidden="1">{"'Verkehr-Personen'!$A$5:$J$26"}</definedName>
    <definedName name="maximilian" hidden="1">{"'Verkehr-Personen'!$A$5:$J$26"}</definedName>
    <definedName name="maximiliane" hidden="1">{"'Verkehr-Personen'!$A$5:$J$26"}</definedName>
    <definedName name="mayreber" hidden="1">{"'Verkehr-Personen'!$A$5:$J$26"}</definedName>
    <definedName name="mefisto" hidden="1">{"'Verkehr-Personen'!$A$5:$J$26"}</definedName>
    <definedName name="mehreengele" hidden="1">{"'Verkehr-Personen'!$A$5:$J$26"}</definedName>
    <definedName name="mehringen" hidden="1">{"'Verkehr-Personen'!$A$5:$J$26"}</definedName>
    <definedName name="meier" hidden="1">{"'Verkehr-Personen'!$A$5:$J$26"}</definedName>
    <definedName name="meierle" hidden="1">{"'Verkehr-Personen'!$A$5:$J$26"}</definedName>
    <definedName name="meinle" hidden="1">{"'Verkehr-Personen'!$A$5:$J$26"}</definedName>
    <definedName name="mensch" hidden="1">{"'Verkehr-Personen'!$A$5:$J$26"}</definedName>
    <definedName name="ment" hidden="1">{"'Verkehr-Personen'!$A$5:$J$26"}</definedName>
    <definedName name="mercedes" hidden="1">{"'Verkehr-Personen'!$A$5:$J$26"}</definedName>
    <definedName name="mesterle" hidden="1">{"'Verkehr-Personen'!$A$5:$J$26"}</definedName>
    <definedName name="metzgerle" hidden="1">{"'Verkehr-Personen'!$A$5:$J$26"}</definedName>
    <definedName name="michael" hidden="1">{"'Verkehr-Personen'!$A$5:$J$26"}</definedName>
    <definedName name="michelengenll" hidden="1">{"'Verkehr-Personen'!$A$5:$J$26"}</definedName>
    <definedName name="Micht" hidden="1">{"'Verkehr-Personen'!$A$5:$J$26"}</definedName>
    <definedName name="Mikel" hidden="1">{"'Verkehr-Personen'!$A$5:$J$26"}</definedName>
    <definedName name="mistle" hidden="1">{"'Verkehr-Personen'!$A$5:$J$26"}</definedName>
    <definedName name="mmyl" hidden="1">{"'Verkehr-Personen'!$A$5:$J$26"}</definedName>
    <definedName name="mo" hidden="1">{"'Verkehr-Personen'!$A$5:$J$26"}</definedName>
    <definedName name="monika" hidden="1">{"'Verkehr-Personen'!$A$5:$J$26"}</definedName>
    <definedName name="Moses" hidden="1">{"'Verkehr-Personen'!$A$5:$J$26"}</definedName>
    <definedName name="motorraf" hidden="1">{"'Verkehr-Personen'!$A$5:$J$26"}</definedName>
    <definedName name="Muell" hidden="1">{"'Verkehr-Personen'!$A$5:$J$26"}</definedName>
    <definedName name="Mueller" hidden="1">{"'Verkehr-Personen'!$A$5:$J$26"}</definedName>
    <definedName name="muellerle" hidden="1">{"'Verkehr-Personen'!$A$5:$J$26"}</definedName>
    <definedName name="mzhmhmh" hidden="1">{"'Verkehr-Personen'!$A$5:$J$26"}</definedName>
    <definedName name="natur" hidden="1">{"'Verkehr-Personen'!$A$5:$J$26"}</definedName>
    <definedName name="nbmdrtzfgvb" hidden="1">{"'Verkehr-Personen'!$A$5:$J$26"}</definedName>
    <definedName name="neapel" hidden="1">{"'Verkehr-Personen'!$A$5:$J$26"}</definedName>
    <definedName name="nelke" hidden="1">{"'Verkehr-Personen'!$A$5:$J$26"}</definedName>
    <definedName name="nicht" hidden="1">{"'Verkehr-Personen'!$A$5:$J$26"}</definedName>
    <definedName name="niederzoll" hidden="1">{"'Verkehr-Personen'!$A$5:$J$26"}</definedName>
    <definedName name="nierenkrebs" hidden="1">{"'Verkehr-Personen'!$A$5:$J$26"}</definedName>
    <definedName name="njet" hidden="1">{"'Verkehr-Personen'!$A$5:$J$26"}</definedName>
    <definedName name="njetnein" hidden="1">{"'Verkehr-Personen'!$A$5:$J$26"}</definedName>
    <definedName name="njetnonyes" hidden="1">{"'Verkehr-Personen'!$A$5:$J$26"}</definedName>
    <definedName name="njnieptr" hidden="1">{"'Verkehr-Personen'!$A$5:$J$26"}</definedName>
    <definedName name="nnnnnnn" hidden="1">{"'Verkehr-Personen'!$A$5:$J$26"}</definedName>
    <definedName name="nnnnnnnnnnniii" hidden="1">{"'Verkehr-Personen'!$A$5:$J$26"}</definedName>
    <definedName name="nnnnnnnnnnnnnn" hidden="1">{"'Verkehr-Personen'!$A$5:$J$26"}</definedName>
    <definedName name="Noah" hidden="1">{"'Verkehr-Personen'!$A$5:$J$26"}</definedName>
    <definedName name="non" hidden="1">{"'Verkehr-Personen'!$A$5:$J$26"}</definedName>
    <definedName name="Norbert" hidden="1">{"'Verkehr-Personen'!$A$5:$J$26"}</definedName>
    <definedName name="not" hidden="1">{"'Verkehr-Personen'!$A$5:$J$26"}</definedName>
    <definedName name="notnonn" hidden="1">{"'Verkehr-Personen'!$A$5:$J$26"}</definedName>
    <definedName name="nottele" hidden="1">{"'Verkehr-Personen'!$A$5:$J$26"}</definedName>
    <definedName name="nudel" hidden="1">{"'Verkehr-Personen'!$A$5:$J$26"}</definedName>
    <definedName name="öäöäöä" hidden="1">{"'Verkehr-Personen'!$A$5:$J$26"}</definedName>
    <definedName name="oben" hidden="1">{"'Verkehr-Personen'!$A$5:$J$26"}</definedName>
    <definedName name="ocujeuzl" hidden="1">{"'Verkehr-Personen'!$A$5:$J$26"}</definedName>
    <definedName name="odxododo" hidden="1">{"'Verkehr-Personen'!$A$5:$J$26"}</definedName>
    <definedName name="oesterreich" hidden="1">{"'Verkehr-Personen'!$A$5:$J$26"}</definedName>
    <definedName name="ogotle" hidden="1">{"'Verkehr-Personen'!$A$5:$J$26"}</definedName>
    <definedName name="ogott" hidden="1">{"'Verkehr-Personen'!$A$5:$J$26"}</definedName>
    <definedName name="oioi" hidden="1">{"'Verkehr-Personen'!$A$5:$J$26"}</definedName>
    <definedName name="oioip" hidden="1">{"'Verkehr-Personen'!$A$5:$J$26"}</definedName>
    <definedName name="Olaf" hidden="1">{"'Verkehr-Personen'!$A$5:$J$26"}</definedName>
    <definedName name="ookkkffffff" hidden="1">{"'Verkehr-Personen'!$A$5:$J$26"}</definedName>
    <definedName name="ooo" hidden="1">{"'Verkehr-Personen'!$A$5:$J$26"}</definedName>
    <definedName name="oooo" hidden="1">{"'Verkehr-Personen'!$A$5:$J$26"}</definedName>
    <definedName name="ooooo" hidden="1">{"'Verkehr-Personen'!$A$5:$J$26"}</definedName>
    <definedName name="ooooooo" hidden="1">{"'Verkehr-Personen'!$A$5:$J$26"}</definedName>
    <definedName name="öööööööööööööö" hidden="1">{"'Verkehr-Personen'!$A$5:$J$26"}</definedName>
    <definedName name="ooooopzt" hidden="1">{"'Verkehr-Personen'!$A$5:$J$26"}</definedName>
    <definedName name="oooppppp" hidden="1">{"'Verkehr-Personen'!$A$5:$J$26"}</definedName>
    <definedName name="oouzt8" hidden="1">{"'Verkehr-Personen'!$A$5:$J$26"}</definedName>
    <definedName name="operle" hidden="1">{"'Verkehr-Personen'!$A$5:$J$26"}</definedName>
    <definedName name="ororjkfkmf" hidden="1">{"'Verkehr-Personen'!$A$5:$J$26"}</definedName>
    <definedName name="otto" hidden="1">{"'Verkehr-Personen'!$A$5:$J$26"}</definedName>
    <definedName name="oui" hidden="1">{"'Verkehr-Personen'!$A$5:$J$26"}</definedName>
    <definedName name="ouiuuztr" hidden="1">{"'Verkehr-Personen'!$A$5:$J$26"}</definedName>
    <definedName name="outi" hidden="1">{"'Verkehr-Personen'!$A$5:$J$26"}</definedName>
    <definedName name="parma" hidden="1">{"'Verkehr-Personen'!$A$5:$J$26"}</definedName>
    <definedName name="patrick" hidden="1">{"'Verkehr-Personen'!$A$5:$J$26"}</definedName>
    <definedName name="Peter" hidden="1">{"'Verkehr-Personen'!$A$5:$J$26"}</definedName>
    <definedName name="petrus" hidden="1">{"'Verkehr-Personen'!$A$5:$J$26"}</definedName>
    <definedName name="pfarrerle" hidden="1">{"'Verkehr-Personen'!$A$5:$J$26"}</definedName>
    <definedName name="Pferdle" hidden="1">{"'Verkehr-Personen'!$A$5:$J$26"}</definedName>
    <definedName name="Phillip" hidden="1">{"'Verkehr-Personen'!$A$5:$J$26"}</definedName>
    <definedName name="pit" hidden="1">{"'Verkehr-Personen'!$A$5:$J$26"}</definedName>
    <definedName name="pitpot" hidden="1">{"'Verkehr-Personen'!$A$5:$J$26"}</definedName>
    <definedName name="piztrewq" hidden="1">{"'Verkehr-Personen'!$A$5:$J$26"}</definedName>
    <definedName name="plkjzr" hidden="1">{"'Verkehr-Personen'!$A$5:$J$26"}</definedName>
    <definedName name="plkplokm" hidden="1">{"'Verkehr-Personen'!$A$5:$J$26"}</definedName>
    <definedName name="pmjihz" hidden="1">{"'Verkehr-Personen'!$A$5:$J$26"}</definedName>
    <definedName name="poi" hidden="1">{"'Verkehr-Personen'!$A$5:$J$26"}</definedName>
    <definedName name="pooooooooooooo" hidden="1">{"'Verkehr-Personen'!$A$5:$J$26"}</definedName>
    <definedName name="popo" hidden="1">{"'Verkehr-Personen'!$A$5:$J$26"}</definedName>
    <definedName name="popole" hidden="1">{"'Verkehr-Personen'!$A$5:$J$26"}</definedName>
    <definedName name="popolein" hidden="1">{"'Verkehr-Personen'!$A$5:$J$26"}</definedName>
    <definedName name="popoleinchen" hidden="1">{"'Verkehr-Personen'!$A$5:$J$26"}</definedName>
    <definedName name="porsche" hidden="1">{"'Verkehr-Personen'!$A$5:$J$26"}</definedName>
    <definedName name="ppppppoo" hidden="1">{"'Verkehr-Personen'!$A$5:$J$26"}</definedName>
    <definedName name="ppppppppppppppppp" hidden="1">{"'Verkehr-Personen'!$A$5:$J$26"}</definedName>
    <definedName name="pppppppppppppppppppsss" hidden="1">{"'Verkehr-Personen'!$A$5:$J$26"}</definedName>
    <definedName name="prewei" hidden="1">{"'Verkehr-Personen'!$A$5:$J$26"}</definedName>
    <definedName name="prewi" hidden="1">{"'Verkehr-Personen'!$A$5:$J$26"}</definedName>
    <definedName name="prewo" hidden="1">{"'Verkehr-Personen'!$A$5:$J$26"}</definedName>
    <definedName name="prewu" hidden="1">{"'Verkehr-Personen'!$A$5:$J$26"}</definedName>
    <definedName name="privwi" hidden="1">{"'Verkehr-Personen'!$A$5:$J$26"}</definedName>
    <definedName name="probialld" hidden="1">{"'Verkehr-Personen'!$A$5:$J$26"}</definedName>
    <definedName name="prostatakrebs" hidden="1">{"'Verkehr-Personen'!$A$5:$J$26"}</definedName>
    <definedName name="prttyp" hidden="1">{"'Verkehr-Personen'!$A$5:$J$26"}</definedName>
    <definedName name="pummelig" hidden="1">{"'Verkehr-Personen'!$A$5:$J$26"}</definedName>
    <definedName name="pummmmmmel" hidden="1">{"'Verkehr-Personen'!$A$5:$J$26"}</definedName>
    <definedName name="pundelelal" hidden="1">{"'Verkehr-Personen'!$A$5:$J$26"}</definedName>
    <definedName name="puppe" hidden="1">{"'Verkehr-Personen'!$A$5:$J$26"}</definedName>
    <definedName name="putzetle" hidden="1">{"'Verkehr-Personen'!$A$5:$J$26"}</definedName>
    <definedName name="qadyvc" hidden="1">{"'Verkehr-Personen'!$A$5:$J$26"}</definedName>
    <definedName name="QAE" hidden="1">{"'Verkehr-Personen'!$A$5:$J$26"}</definedName>
    <definedName name="qaeydfv" hidden="1">{"'Verkehr-Personen'!$A$5:$J$26"}</definedName>
    <definedName name="qesfhn" hidden="1">{"'Verkehr-Personen'!$A$5:$J$26"}</definedName>
    <definedName name="qkjkl" hidden="1">{"'Verkehr-Personen'!$A$5:$J$26"}</definedName>
    <definedName name="qqq" hidden="1">{"'Verkehr-Personen'!$A$5:$J$26"}</definedName>
    <definedName name="qr" hidden="1">{"'Verkehr-Personen'!$A$5:$J$26"}</definedName>
    <definedName name="qwklwlk" hidden="1">{"'Verkehr-Personen'!$A$5:$J$26"}</definedName>
    <definedName name="QWSR" hidden="1">{"'Verkehr-Personen'!$A$5:$J$26"}</definedName>
    <definedName name="qwtsb" hidden="1">{"'Verkehr-Personen'!$A$5:$J$26"}</definedName>
    <definedName name="rdzjghv" hidden="1">{"'Verkehr-Personen'!$A$5:$J$26"}</definedName>
    <definedName name="reber" hidden="1">{"'Verkehr-Personen'!$A$5:$J$26"}</definedName>
    <definedName name="reberlllllotlt" hidden="1">{"'Verkehr-Personen'!$A$5:$J$26"}</definedName>
    <definedName name="regen" hidden="1">{"'Verkehr-Personen'!$A$5:$J$26"}</definedName>
    <definedName name="regenle" hidden="1">{"'Verkehr-Personen'!$A$5:$J$26"}</definedName>
    <definedName name="regenwetter" hidden="1">{"'Verkehr-Personen'!$A$5:$J$26"}</definedName>
    <definedName name="regenwurm" hidden="1">{"'Verkehr-Personen'!$A$5:$J$26"}</definedName>
    <definedName name="reichle" hidden="1">{"'Verkehr-Personen'!$A$5:$J$26"}</definedName>
    <definedName name="reis" hidden="1">{"'Verkehr-Personen'!$A$5:$J$26"}</definedName>
    <definedName name="reisssig" hidden="1">{"'Verkehr-Personen'!$A$5:$J$26"}</definedName>
    <definedName name="reiten" hidden="1">{"'Verkehr-Personen'!$A$5:$J$26"}</definedName>
    <definedName name="renault" hidden="1">{"'Verkehr-Personen'!$A$5:$J$26"}</definedName>
    <definedName name="rennenn" hidden="1">{"'Verkehr-Personen'!$A$5:$J$26"}</definedName>
    <definedName name="rennnnnnen" hidden="1">{"'Verkehr-Personen'!$A$5:$J$26"}</definedName>
    <definedName name="richtig" hidden="1">{"'Verkehr-Personen'!$A$5:$J$26"}</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hracker" hidden="1">{"'Verkehr-Personen'!$A$5:$J$26"}</definedName>
    <definedName name="rom" hidden="1">{"'Verkehr-Personen'!$A$5:$J$26"}</definedName>
    <definedName name="rose" hidden="1">{"'Verkehr-Personen'!$A$5:$J$26"}</definedName>
    <definedName name="rosenkohl" hidden="1">{"'Verkehr-Personen'!$A$5:$J$26"}</definedName>
    <definedName name="rosenkohlim" hidden="1">{"'Verkehr-Personen'!$A$5:$J$26"}</definedName>
    <definedName name="rosenrot" hidden="1">{"'Verkehr-Personen'!$A$5:$J$26"}</definedName>
    <definedName name="rostenrot" hidden="1">{"'Verkehr-Personen'!$A$5:$J$26"}</definedName>
    <definedName name="rot" hidden="1">{"'Verkehr-Personen'!$A$5:$J$26"}</definedName>
    <definedName name="rotblau" hidden="1">{"'Verkehr-Personen'!$A$5:$J$26"}</definedName>
    <definedName name="rotbraun" hidden="1">{"'Verkehr-Personen'!$A$5:$J$26"}</definedName>
    <definedName name="rotgelb" hidden="1">{"'Verkehr-Personen'!$A$5:$J$26"}</definedName>
    <definedName name="rotgruen" hidden="1">{"'Verkehr-Personen'!$A$5:$J$26"}</definedName>
    <definedName name="rotoel" hidden="1">{"'Verkehr-Personen'!$A$5:$J$26"}</definedName>
    <definedName name="rotrosa" hidden="1">{"'Verkehr-Personen'!$A$5:$J$26"}</definedName>
    <definedName name="rotrose" hidden="1">{"'Verkehr-Personen'!$A$5:$J$26"}</definedName>
    <definedName name="rotvilolett" hidden="1">{"'Verkehr-Personen'!$A$5:$J$26"}</definedName>
    <definedName name="roüawpsdjykv" hidden="1">{"'Verkehr-Personen'!$A$5:$J$26"}</definedName>
    <definedName name="rP1.Deckblatt">'[5]Parameter 1'!$O$13:$O$23</definedName>
    <definedName name="rP1.Hinweis">'[5]Parameter 1'!$N$13</definedName>
    <definedName name="rP1.Inhalte">'[5]Parameter 1'!$K$13:$K$35</definedName>
    <definedName name="rP1.Links">'[5]Parameter 1'!$M$13</definedName>
    <definedName name="rP1.Überschrift">'[5]Parameter 1'!$L$13:$L$17</definedName>
    <definedName name="rrrrr" hidden="1">{"'Verkehr-Personen'!$A$5:$J$26"}</definedName>
    <definedName name="rrrrrrrr" hidden="1">{"'Verkehr-Personen'!$A$5:$J$26"}</definedName>
    <definedName name="rrrrrrrrrr" hidden="1">{"'Verkehr-Personen'!$A$5:$J$26"}</definedName>
    <definedName name="saarlaender" hidden="1">{"'Verkehr-Personen'!$A$5:$J$26"}</definedName>
    <definedName name="sabine" hidden="1">{"'Verkehr-Personen'!$A$5:$J$26"}</definedName>
    <definedName name="sabinerin" hidden="1">{"'Verkehr-Personen'!$A$5:$J$26"}</definedName>
    <definedName name="saenger" hidden="1">{"'Verkehr-Personen'!$A$5:$J$26"}</definedName>
    <definedName name="saengerchen" hidden="1">{"'Verkehr-Personen'!$A$5:$J$26"}</definedName>
    <definedName name="saengerle" hidden="1">{"'Verkehr-Personen'!$A$5:$J$26"}</definedName>
    <definedName name="sakra" hidden="1">{"'Verkehr-Personen'!$A$5:$J$26"}</definedName>
    <definedName name="sas" hidden="1">{"'Verkehr-Personen'!$A$5:$J$26"}</definedName>
    <definedName name="satan" hidden="1">{"'Verkehr-Personen'!$A$5:$J$26"}</definedName>
    <definedName name="satansbrut" hidden="1">{"'Verkehr-Personen'!$A$5:$J$26"}</definedName>
    <definedName name="satansmensch" hidden="1">{"'Verkehr-Personen'!$A$5:$J$26"}</definedName>
    <definedName name="saubloed" hidden="1">{"'Verkehr-Personen'!$A$5:$J$26"}</definedName>
    <definedName name="sauerkrat" hidden="1">{"'Verkehr-Personen'!$A$5:$J$26"}</definedName>
    <definedName name="sauerkraut" hidden="1">{"'Verkehr-Personen'!$A$5:$J$26"}</definedName>
    <definedName name="schickeawald" hidden="1">{"'Verkehr-Personen'!$A$5:$J$26"}</definedName>
    <definedName name="schiller" hidden="1">{"'Verkehr-Personen'!$A$5:$J$26"}</definedName>
    <definedName name="schlingel" hidden="1">{"'Verkehr-Personen'!$A$5:$J$26"}</definedName>
    <definedName name="Schmidt" hidden="1">{"'Verkehr-Personen'!$A$5:$J$26"}</definedName>
    <definedName name="schnee" hidden="1">{"'Verkehr-Personen'!$A$5:$J$26"}</definedName>
    <definedName name="schneewittchen" hidden="1">{"'Verkehr-Personen'!$A$5:$J$26"}</definedName>
    <definedName name="schnuiuztre" hidden="1">{"'Verkehr-Personen'!$A$5:$J$26"}</definedName>
    <definedName name="schnupfen" hidden="1">{"'Verkehr-Personen'!$A$5:$J$26"}</definedName>
    <definedName name="schnurpit" hidden="1">{"'Verkehr-Personen'!$A$5:$J$26"}</definedName>
    <definedName name="Schott" hidden="1">{"'Verkehr-Personen'!$A$5:$J$26"}</definedName>
    <definedName name="schraenkle" hidden="1">{"'Verkehr-Personen'!$A$5:$J$26"}</definedName>
    <definedName name="schrauben" hidden="1">{"'Verkehr-Personen'!$A$5:$J$26"}</definedName>
    <definedName name="schreiberle" hidden="1">{"'Verkehr-Personen'!$A$5:$J$26"}</definedName>
    <definedName name="schutz" hidden="1">{"'Verkehr-Personen'!$A$5:$J$26"}</definedName>
    <definedName name="schwargle" hidden="1">{"'Verkehr-Personen'!$A$5:$J$26"}</definedName>
    <definedName name="schwartz" hidden="1">{"'Verkehr-Personen'!$A$5:$J$26"}</definedName>
    <definedName name="schwarz" hidden="1">{"'Verkehr-Personen'!$A$5:$J$26"}</definedName>
    <definedName name="schwarzblau" hidden="1">{"'Verkehr-Personen'!$A$5:$J$26"}</definedName>
    <definedName name="schwarzbraun" hidden="1">{"'Verkehr-Personen'!$A$5:$J$26"}</definedName>
    <definedName name="schwarzgelb" hidden="1">{"'Verkehr-Personen'!$A$5:$J$26"}</definedName>
    <definedName name="schwarzhaupt" hidden="1">{"'Verkehr-Personen'!$A$5:$J$26"}</definedName>
    <definedName name="schwarzrot" hidden="1">{"'Verkehr-Personen'!$A$5:$J$26"}</definedName>
    <definedName name="schwarzwald" hidden="1">{"'Verkehr-Personen'!$A$5:$J$26"}</definedName>
    <definedName name="schwarzweiss" hidden="1">{"'Verkehr-Personen'!$A$5:$J$26"}</definedName>
    <definedName name="schweeweisschen" hidden="1">{"'Verkehr-Personen'!$A$5:$J$26"}</definedName>
    <definedName name="schweinefusse" hidden="1">{"'Verkehr-Personen'!$A$5:$J$26"}</definedName>
    <definedName name="schweinfef" hidden="1">{"'Verkehr-Personen'!$A$5:$J$26"}</definedName>
    <definedName name="schweinfett" hidden="1">{"'Verkehr-Personen'!$A$5:$J$26"}</definedName>
    <definedName name="sdcsds" hidden="1">{"'Verkehr-Personen'!$A$5:$J$26"}</definedName>
    <definedName name="sdf" hidden="1">{"'Verkehr-Personen'!$A$5:$J$26"}</definedName>
    <definedName name="sdfdffds" hidden="1">{"'Verkehr-Personen'!$A$5:$J$26"}</definedName>
    <definedName name="sdfklx" hidden="1">{"'Verkehr-Personen'!$A$5:$J$26"}</definedName>
    <definedName name="sdfsd" hidden="1">{"'Verkehr-Personen'!$A$5:$J$26"}</definedName>
    <definedName name="sdfserdfgvc" hidden="1">{"'Verkehr-Personen'!$A$5:$J$26"}</definedName>
    <definedName name="sdfyklaseklö" hidden="1">{"'Verkehr-Personen'!$A$5:$J$26"}</definedName>
    <definedName name="sdk" hidden="1">{"'Verkehr-Personen'!$A$5:$J$26"}</definedName>
    <definedName name="sdres" hidden="1">{"'Verkehr-Personen'!$A$5:$J$26"}</definedName>
    <definedName name="sds" hidden="1">{"'Verkehr-Personen'!$A$5:$J$26"}</definedName>
    <definedName name="sdsddsfsdzurt" hidden="1">{"'Verkehr-Personen'!$A$5:$J$26"}</definedName>
    <definedName name="sdswes" hidden="1">{"'Verkehr-Personen'!$A$5:$J$26"}</definedName>
    <definedName name="sed" hidden="1">{"'Verkehr-Personen'!$A$5:$J$26"}</definedName>
    <definedName name="seinle" hidden="1">{"'Verkehr-Personen'!$A$5:$J$26"}</definedName>
    <definedName name="serae" hidden="1">{"'Verkehr-Personen'!$A$5:$J$26"}</definedName>
    <definedName name="sfd" hidden="1">{"'Verkehr-Personen'!$A$5:$J$26"}</definedName>
    <definedName name="shckoe" hidden="1">{"'Verkehr-Personen'!$A$5:$J$26"}</definedName>
    <definedName name="shutz" hidden="1">{"'Verkehr-Personen'!$A$5:$J$26"}</definedName>
    <definedName name="sidslls" hidden="1">{"'Verkehr-Personen'!$A$5:$J$26"}</definedName>
    <definedName name="simsenkrebsler" hidden="1">{"'Verkehr-Personen'!$A$5:$J$26"}</definedName>
    <definedName name="skajiiunbv" hidden="1">{"'Verkehr-Personen'!$A$5:$J$26"}</definedName>
    <definedName name="sklsiufysxcm" hidden="1">{"'Verkehr-Personen'!$A$5:$J$26"}</definedName>
    <definedName name="sks" hidden="1">{"'Verkehr-Personen'!$A$5:$J$26"}</definedName>
    <definedName name="skurnns" hidden="1">{"'Verkehr-Personen'!$A$5:$J$26"}</definedName>
    <definedName name="Slicer_Country">#N/A</definedName>
    <definedName name="sommer" hidden="1">{"'Verkehr-Personen'!$A$5:$J$26"}</definedName>
    <definedName name="Sonnenschein" hidden="1">{"'Verkehr-Personen'!$A$5:$J$26"}</definedName>
    <definedName name="spanien" hidden="1">{"'Verkehr-Personen'!$A$5:$J$26"}</definedName>
    <definedName name="sportlern" hidden="1">{"'Verkehr-Personen'!$A$5:$J$26"}</definedName>
    <definedName name="ss" hidden="1">{"'Verkehr-Personen'!$A$5:$J$26"}</definedName>
    <definedName name="sscheißdrechk" hidden="1">{"'Verkehr-Personen'!$A$5:$J$26"}</definedName>
    <definedName name="ssdss" hidden="1">{"'Verkehr-Personen'!$A$5:$J$26"}</definedName>
    <definedName name="sskdas" hidden="1">{"'Verkehr-Personen'!$A$5:$J$26"}</definedName>
    <definedName name="sss" hidden="1">{"'Verkehr-Personen'!$A$5:$J$26"}</definedName>
    <definedName name="ssss" hidden="1">{"'Verkehr-Personen'!$A$5:$J$26"}</definedName>
    <definedName name="sssss" hidden="1">{"'Verkehr-Personen'!$A$5:$J$26"}</definedName>
    <definedName name="ssssssssssssss" hidden="1">{"'Verkehr-Personen'!$A$5:$J$26"}</definedName>
    <definedName name="ssssssssssssssssssss" hidden="1">{"'Verkehr-Personen'!$A$5:$J$26"}</definedName>
    <definedName name="sssssssssssssssssssssssssssssssssss" hidden="1">{"'Verkehr-Personen'!$A$5:$J$26"}</definedName>
    <definedName name="stist" hidden="1">{"'Verkehr-Personen'!$A$5:$J$26"}</definedName>
    <definedName name="storbeck" hidden="1">{"'Verkehr-Personen'!$A$5:$J$26"}</definedName>
    <definedName name="strotbeck" hidden="1">{"'Verkehr-Personen'!$A$5:$J$26"}</definedName>
    <definedName name="strotbekck" hidden="1">{"'Verkehr-Personen'!$A$5:$J$26"}</definedName>
    <definedName name="stuehle" hidden="1">{"'Verkehr-Personen'!$A$5:$J$26"}</definedName>
    <definedName name="stufenle" hidden="1">{"'Verkehr-Personen'!$A$5:$J$26"}</definedName>
    <definedName name="suableidis" hidden="1">{"'Verkehr-Personen'!$A$5:$J$26"}</definedName>
    <definedName name="SubKrit_Bereich1">[4]Tool!$O$9</definedName>
    <definedName name="SubKrit_Bereich2">[4]Tool!$O$10</definedName>
    <definedName name="SubKrit_Bereich3">[4]Tool!$O$11</definedName>
    <definedName name="SubKrit_Bereich4">[4]Tool!$O$12</definedName>
    <definedName name="suerbleod" hidden="1">{"'Verkehr-Personen'!$A$5:$J$26"}</definedName>
    <definedName name="sx" hidden="1">{"'Verkehr-Personen'!$A$5:$J$26"}</definedName>
    <definedName name="sxc" hidden="1">{"'Verkehr-Personen'!$A$5:$J$26"}</definedName>
    <definedName name="syd" hidden="1">{"'Verkehr-Personen'!$A$5:$J$26"}</definedName>
    <definedName name="syxc" hidden="1">{"'Verkehr-Personen'!$A$5:$J$26"}</definedName>
    <definedName name="t" hidden="1">{"'Verkehr-Personen'!$A$5:$J$26"}</definedName>
    <definedName name="taet" hidden="1">{"'Verkehr-Personen'!$A$5:$J$26"}</definedName>
    <definedName name="tagungle" hidden="1">{"'Verkehr-Personen'!$A$5:$J$26"}</definedName>
    <definedName name="tastele" hidden="1">{"'Verkehr-Personen'!$A$5:$J$26"}</definedName>
    <definedName name="tat" hidden="1">{"'Verkehr-Personen'!$A$5:$J$26"}</definedName>
    <definedName name="tatsachlichvoll" hidden="1">{"'Verkehr-Personen'!$A$5:$J$26"}</definedName>
    <definedName name="tatsachlichvollundmehr" hidden="1">{"'Verkehr-Personen'!$A$5:$J$26"}</definedName>
    <definedName name="tatsaechlich" hidden="1">{"'Verkehr-Personen'!$A$5:$J$26"}</definedName>
    <definedName name="tausendle" hidden="1">{"'Verkehr-Personen'!$A$5:$J$26"}</definedName>
    <definedName name="teien" hidden="1">{"'Verkehr-Personen'!$A$5:$J$26"}</definedName>
    <definedName name="telefonbuch" hidden="1">{"'Verkehr-Personen'!$A$5:$J$26"}</definedName>
    <definedName name="teppich" hidden="1">{"'Verkehr-Personen'!$A$5:$J$26"}</definedName>
    <definedName name="teppichle" hidden="1">{"'Verkehr-Personen'!$A$5:$J$26"}</definedName>
    <definedName name="test" hidden="1">{"BadenWürtemberg",#N/A,FALSE,"Baden-Würtemberg"}</definedName>
    <definedName name="teufel" hidden="1">{"'Verkehr-Personen'!$A$5:$J$26"}</definedName>
    <definedName name="teufelin" hidden="1">{"'Verkehr-Personen'!$A$5:$J$26"}</definedName>
    <definedName name="teufelinn" hidden="1">{"'Verkehr-Personen'!$A$5:$J$26"}</definedName>
    <definedName name="teufellllnnnne" hidden="1">{"'Verkehr-Personen'!$A$5:$J$26"}</definedName>
    <definedName name="tfg" hidden="1">{"'Verkehr-Personen'!$A$5:$J$26"}</definedName>
    <definedName name="thamenn" hidden="1">{"'Verkehr-Personen'!$A$5:$J$26"}</definedName>
    <definedName name="theaterle" hidden="1">{"'Verkehr-Personen'!$A$5:$J$26"}</definedName>
    <definedName name="tischle" hidden="1">{"'Verkehr-Personen'!$A$5:$J$26"}</definedName>
    <definedName name="Titel_de">#REF!</definedName>
    <definedName name="Titel_en">#REF!</definedName>
    <definedName name="toni" hidden="1">{"'Verkehr-Personen'!$A$5:$J$26"}</definedName>
    <definedName name="tothlll" hidden="1">{"'Verkehr-Personen'!$A$5:$J$26"}</definedName>
    <definedName name="trepple" hidden="1">{"'Verkehr-Personen'!$A$5:$J$26"}</definedName>
    <definedName name="trgf" hidden="1">{"'Verkehr-Personen'!$A$5:$J$26"}</definedName>
    <definedName name="ttttiiip" hidden="1">{"'Verkehr-Personen'!$A$5:$J$26"}</definedName>
    <definedName name="ttttttt" hidden="1">{"'Verkehr-Personen'!$A$5:$J$26"}</definedName>
    <definedName name="Tuerik" hidden="1">{"'Verkehr-Personen'!$A$5:$J$26"}</definedName>
    <definedName name="tuermle" hidden="1">{"'Verkehr-Personen'!$A$5:$J$26"}</definedName>
    <definedName name="tuete" hidden="1">{"'Verkehr-Personen'!$A$5:$J$26"}</definedName>
    <definedName name="tuetle" hidden="1">{"'Verkehr-Personen'!$A$5:$J$26"}</definedName>
    <definedName name="turnen" hidden="1">{"'Verkehr-Personen'!$A$5:$J$26"}</definedName>
    <definedName name="turnhalle" hidden="1">{"'Verkehr-Personen'!$A$5:$J$26"}</definedName>
    <definedName name="tzgfhvb" hidden="1">{"'Verkehr-Personen'!$A$5:$J$26"}</definedName>
    <definedName name="Udo" hidden="1">{"'Verkehr-Personen'!$A$5:$J$26"}</definedName>
    <definedName name="Uebel" hidden="1">{"'Verkehr-Personen'!$A$5:$J$26"}</definedName>
    <definedName name="uehrle" hidden="1">{"'Verkehr-Personen'!$A$5:$J$26"}</definedName>
    <definedName name="uhlbach" hidden="1">{"'Verkehr-Personen'!$A$5:$J$26"}</definedName>
    <definedName name="uhlbachdhddhdi" hidden="1">{"'Verkehr-Personen'!$A$5:$J$26"}</definedName>
    <definedName name="Umlagebetrag">#REF!</definedName>
    <definedName name="uni" hidden="1">{"'Verkehr-Personen'!$A$5:$J$26"}</definedName>
    <definedName name="univer" hidden="1">{"'Verkehr-Personen'!$A$5:$J$26"}</definedName>
    <definedName name="universit" hidden="1">{"'Verkehr-Personen'!$A$5:$J$26"}</definedName>
    <definedName name="üoüi" hidden="1">{"'Verkehr-Personen'!$A$5:$J$26"}</definedName>
    <definedName name="urhrel" hidden="1">{"'Verkehr-Personen'!$A$5:$J$26"}</definedName>
    <definedName name="ute" hidden="1">{"'Verkehr-Personen'!$A$5:$J$26"}</definedName>
    <definedName name="utennn" hidden="1">{"'Verkehr-Personen'!$A$5:$J$26"}</definedName>
    <definedName name="uuu" hidden="1">{"'Verkehr-Personen'!$A$5:$J$26"}</definedName>
    <definedName name="Uwe" hidden="1">{"'Verkehr-Personen'!$A$5:$J$26"}</definedName>
    <definedName name="v" hidden="1">{"'Verkehr-Personen'!$A$5:$J$26"}</definedName>
    <definedName name="vaihingen" hidden="1">{"'Verkehr-Personen'!$A$5:$J$26"}</definedName>
    <definedName name="verbessern" hidden="1">{"'Verkehr-Personen'!$A$5:$J$26"}</definedName>
    <definedName name="verbesserndkdkdk" hidden="1">{"'Verkehr-Personen'!$A$5:$J$26"}</definedName>
    <definedName name="verflixt" hidden="1">{"'Verkehr-Personen'!$A$5:$J$26"}</definedName>
    <definedName name="Verkehr2" hidden="1">{"'Verkehr-Personen'!$A$5:$J$26"}</definedName>
    <definedName name="VerkehrPkwKlassen" hidden="1">{"'Verkehr-Personen'!$A$5:$J$26"}</definedName>
    <definedName name="verkehrt" hidden="1">{"'Verkehr-Personen'!$A$5:$J$26"}</definedName>
    <definedName name="verschlechternm" hidden="1">{"'Verkehr-Personen'!$A$5:$J$26"}</definedName>
    <definedName name="vertauschen" hidden="1">{"'Verkehr-Personen'!$A$5:$J$26"}</definedName>
    <definedName name="vertzaopssss" hidden="1">{"'Verkehr-Personen'!$A$5:$J$26"}</definedName>
    <definedName name="vg" hidden="1">{"'Verkehr-Personen'!$A$5:$J$26"}</definedName>
    <definedName name="vielfach" hidden="1">{"'Verkehr-Personen'!$A$5:$J$26"}</definedName>
    <definedName name="vielleut" hidden="1">{"'Verkehr-Personen'!$A$5:$J$26"}</definedName>
    <definedName name="viertele" hidden="1">{"'Verkehr-Personen'!$A$5:$J$26"}</definedName>
    <definedName name="voegle" hidden="1">{"'Verkehr-Personen'!$A$5:$J$26"}</definedName>
    <definedName name="volkswagen" hidden="1">{"'Verkehr-Personen'!$A$5:$J$26"}</definedName>
    <definedName name="von" hidden="1">{"'Verkehr-Personen'!$A$5:$J$26"}</definedName>
    <definedName name="vvvvvvvvvvvvvvvvvvvvvvvvvvv" hidden="1">{"'Verkehr-Personen'!$A$5:$J$26"}</definedName>
    <definedName name="vw" hidden="1">{"'Verkehr-Personen'!$A$5:$J$26"}</definedName>
    <definedName name="w2es" hidden="1">{"'Verkehr-Personen'!$A$5:$J$26"}</definedName>
    <definedName name="w3tesgf" hidden="1">{"'Verkehr-Personen'!$A$5:$J$26"}</definedName>
    <definedName name="wandern" hidden="1">{"'Verkehr-Personen'!$A$5:$J$26"}</definedName>
    <definedName name="wasserhaehnle" hidden="1">{"'Verkehr-Personen'!$A$5:$J$26"}</definedName>
    <definedName name="wasx" hidden="1">{"'Verkehr-Personen'!$A$5:$J$26"}</definedName>
    <definedName name="wau" hidden="1">{"'Verkehr-Personen'!$A$5:$J$26"}</definedName>
    <definedName name="wauwau" hidden="1">{"'Verkehr-Personen'!$A$5:$J$26"}</definedName>
    <definedName name="wauwi" hidden="1">{"'Verkehr-Personen'!$A$5:$J$26"}</definedName>
    <definedName name="wauwilein" hidden="1">{"'Verkehr-Personen'!$A$5:$J$26"}</definedName>
    <definedName name="wberle" hidden="1">{"'Verkehr-Personen'!$A$5:$J$26"}</definedName>
    <definedName name="weaw" hidden="1">{"'Verkehr-Personen'!$A$5:$J$26"}</definedName>
    <definedName name="weber" hidden="1">{"'Verkehr-Personen'!$A$5:$J$26"}</definedName>
    <definedName name="weberlein" hidden="1">{"'Verkehr-Personen'!$A$5:$J$26"}</definedName>
    <definedName name="wegwerfen" hidden="1">{"'Verkehr-Personen'!$A$5:$J$26"}</definedName>
    <definedName name="wegwerfenbald" hidden="1">{"'Verkehr-Personen'!$A$5:$J$26"}</definedName>
    <definedName name="wein" hidden="1">{"'Verkehr-Personen'!$A$5:$J$26"}</definedName>
    <definedName name="weingarten" hidden="1">{"'Verkehr-Personen'!$A$5:$J$26"}</definedName>
    <definedName name="weipgelb" hidden="1">{"'Verkehr-Personen'!$A$5:$J$26"}</definedName>
    <definedName name="weissgelb" hidden="1">{"'Verkehr-Personen'!$A$5:$J$26"}</definedName>
    <definedName name="werfel" hidden="1">{"'Verkehr-Personen'!$A$5:$J$26"}</definedName>
    <definedName name="westdx" hidden="1">{"'Verkehr-Personen'!$A$5:$J$26"}</definedName>
    <definedName name="wetfdv" hidden="1">{"'Verkehr-Personen'!$A$5:$J$26"}</definedName>
    <definedName name="wetwetfsd" hidden="1">{"'Verkehr-Personen'!$A$5:$J$26"}</definedName>
    <definedName name="whwisns" hidden="1">{"'Verkehr-Personen'!$A$5:$J$26"}</definedName>
    <definedName name="wiegehts" hidden="1">{"'Verkehr-Personen'!$A$5:$J$26"}</definedName>
    <definedName name="wiessgrune" hidden="1">{"'Verkehr-Personen'!$A$5:$J$26"}</definedName>
    <definedName name="wildschwein" hidden="1">{"'Verkehr-Personen'!$A$5:$J$26"}</definedName>
    <definedName name="wilhelm" hidden="1">{"'Verkehr-Personen'!$A$5:$J$26"}</definedName>
    <definedName name="winter" hidden="1">{"'Verkehr-Personen'!$A$5:$J$26"}</definedName>
    <definedName name="wirklich" hidden="1">{"'Verkehr-Personen'!$A$5:$J$26"}</definedName>
    <definedName name="wirklichvoll" hidden="1">{"'Verkehr-Personen'!$A$5:$J$26"}</definedName>
    <definedName name="wohenenenenen" hidden="1">{"'Verkehr-Personen'!$A$5:$J$26"}</definedName>
    <definedName name="woihsjlxc" hidden="1">{"'Verkehr-Personen'!$A$5:$J$26"}</definedName>
    <definedName name="wolfgang" hidden="1">{"'Verkehr-Personen'!$A$5:$J$26"}</definedName>
    <definedName name="wpdl" hidden="1">{"'Verkehr-Personen'!$A$5:$J$26"}</definedName>
    <definedName name="wrn.BadenWürtemberg." hidden="1">{"BadenWürtemberg",#N/A,FALSE,"Baden-Würtemberg"}</definedName>
    <definedName name="wrn.Bayern." hidden="1">{#N/A,#N/A,FALSE,"Bayern"}</definedName>
    <definedName name="wrn.Berlin." hidden="1">{#N/A,#N/A,FALSE,"Berlin"}</definedName>
    <definedName name="wrn.Brandenburg." hidden="1">{#N/A,#N/A,FALSE,"Brandenburg"}</definedName>
    <definedName name="wrn.Bremen." hidden="1">{#N/A,#N/A,FALSE,"Bremen"}</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Hamburg." hidden="1">{#N/A,#N/A,FALSE,"Hamburg"}</definedName>
    <definedName name="wrn.Hessen." hidden="1">{#N/A,#N/A,FALSE,"Hessen"}</definedName>
    <definedName name="wrn.MecklenburgVorpommern." hidden="1">{#N/A,#N/A,FALSE,"Mecklenburg-Vorpommern"}</definedName>
    <definedName name="wrn.nach._.Förderung." hidden="1">{"nach Förderung",#N/A,FALSE,"Länder Gesamt"}</definedName>
    <definedName name="wrn.nach._.Ländern." hidden="1">{"nach Ländern",#N/A,FALSE,"Länder Gesamt"}</definedName>
    <definedName name="wrn.Niedersachsen." hidden="1">{#N/A,#N/A,FALSE,"Niedersachsen"}</definedName>
    <definedName name="wrn.NordrheinWestfalen." hidden="1">{#N/A,#N/A,FALSE,"Nordrhein-Westfalen"}</definedName>
    <definedName name="wrn.RheinlandPfalz." hidden="1">{#N/A,#N/A,FALSE,"Rheinland-Pfalz"}</definedName>
    <definedName name="wrn.Saarland." hidden="1">{#N/A,#N/A,FALSE,"Saarland"}</definedName>
    <definedName name="wrn.Sachsen." hidden="1">{#N/A,#N/A,FALSE,"Sachsen"}</definedName>
    <definedName name="wrn.SachsenAnhalt." hidden="1">{"SachsenAnhalt",#N/A,FALSE,"Sachsen-Anhalt"}</definedName>
    <definedName name="wrn.SchleswigHolstein." hidden="1">{"SchleswigHolstein",#N/A,FALSE,"Schleswig-Holstein"}</definedName>
    <definedName name="wrn.Thüringen." hidden="1">{"Thüringen",#N/A,FALSE,"Thüringen"}</definedName>
    <definedName name="WRSHD" hidden="1">{"'Verkehr-Personen'!$A$5:$J$26"}</definedName>
    <definedName name="wsydg" hidden="1">{"'Verkehr-Personen'!$A$5:$J$26"}</definedName>
    <definedName name="wuert" hidden="1">{"'Verkehr-Personen'!$A$5:$J$26"}</definedName>
    <definedName name="wuertt" hidden="1">{"'Verkehr-Personen'!$A$5:$J$26"}</definedName>
    <definedName name="wuetericht" hidden="1">{"'Verkehr-Personen'!$A$5:$J$26"}</definedName>
    <definedName name="ww" hidden="1">{"'Verkehr-Personen'!$A$5:$J$26"}</definedName>
    <definedName name="wwes" hidden="1">{"'Verkehr-Personen'!$A$5:$J$26"}</definedName>
    <definedName name="xxx"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xxxxxxxxxxxxxxxx" hidden="1">{"'Verkehr-Personen'!$A$5:$J$26"}</definedName>
    <definedName name="ysdfserdf" hidden="1">{"'Verkehr-Personen'!$A$5:$J$26"}</definedName>
    <definedName name="zeitungle" hidden="1">{"'Verkehr-Personen'!$A$5:$J$26"}</definedName>
    <definedName name="zentele" hidden="1">{"'Verkehr-Personen'!$A$5:$J$26"}</definedName>
    <definedName name="zggh" hidden="1">{"'Verkehr-Personen'!$A$5:$J$26"}</definedName>
    <definedName name="zghudrtdg" hidden="1">{"'Verkehr-Personen'!$A$5:$J$26"}</definedName>
    <definedName name="ztfgvc" hidden="1">{"'Verkehr-Personen'!$A$5:$J$26"}</definedName>
    <definedName name="zuegle" hidden="1">{"'Verkehr-Personen'!$A$5:$J$26"}</definedName>
    <definedName name="zug" hidden="1">{"'Verkehr-Personen'!$A$5:$J$26"}</definedName>
    <definedName name="zugenaeth" hidden="1">{"'Verkehr-Personen'!$A$5:$J$26"}</definedName>
    <definedName name="Zum" hidden="1">{"'Verkehr-Personen'!$A$5:$J$26"}</definedName>
    <definedName name="ZUZU" hidden="1">{"'Verkehr-Personen'!$A$5:$J$26"}</definedName>
    <definedName name="zuzuzu" hidden="1">{"'Verkehr-Personen'!$A$5:$J$26"}</definedName>
    <definedName name="zwirn" hidden="1">{"'Verkehr-Personen'!$A$5:$J$26"}</definedName>
    <definedName name="zzzzzzz" hidden="1">{"'Verkehr-Personen'!$A$5:$J$26"}</definedName>
    <definedName name="zzzzzzzzzzz" hidden="1">{"'Verkehr-Personen'!$A$5:$J$26"}</definedName>
  </definedNames>
  <calcPr calcId="191029" concurrentCalc="0"/>
  <pivotCaches>
    <pivotCache cacheId="0" r:id="rId13"/>
  </pivotCaches>
  <extLst>
    <ext xmlns:x14="http://schemas.microsoft.com/office/spreadsheetml/2009/9/main" uri="{BBE1A952-AA13-448e-AADC-164F8A28A991}">
      <x14:slicerCaches>
        <x14:slicerCache r:id="rId1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Append2" name="Append2" connection="WorksheetConnection_2502_SCF-ETS2_Revenues_v3.xlsx!Append2"/>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7" i="5" l="1"/>
  <c r="AG5" i="7"/>
  <c r="AG7" i="7"/>
  <c r="AG10" i="7"/>
  <c r="AG14" i="7"/>
  <c r="AU8" i="7"/>
  <c r="AV8" i="7"/>
  <c r="AH5" i="7"/>
  <c r="AH7" i="7"/>
  <c r="AH10" i="7"/>
  <c r="AW8" i="7"/>
  <c r="AX8" i="7"/>
  <c r="P6" i="32"/>
  <c r="O6" i="32"/>
  <c r="AS3" i="7"/>
  <c r="AC49" i="32"/>
  <c r="AC60" i="32"/>
  <c r="N7" i="32"/>
  <c r="N8" i="32"/>
  <c r="N9" i="32"/>
  <c r="N10" i="32"/>
  <c r="N11" i="32"/>
  <c r="N12" i="32"/>
  <c r="N13" i="32"/>
  <c r="N14" i="32"/>
  <c r="N15" i="32"/>
  <c r="N16" i="32"/>
  <c r="N17" i="32"/>
  <c r="N18" i="32"/>
  <c r="N19" i="32"/>
  <c r="N20" i="32"/>
  <c r="N21" i="32"/>
  <c r="N22" i="32"/>
  <c r="N23" i="32"/>
  <c r="N24" i="32"/>
  <c r="N25" i="32"/>
  <c r="N26" i="32"/>
  <c r="N27" i="32"/>
  <c r="N28" i="32"/>
  <c r="N29" i="32"/>
  <c r="N30" i="32"/>
  <c r="N31" i="32"/>
  <c r="N32" i="32"/>
  <c r="N6" i="32"/>
  <c r="M7" i="32"/>
  <c r="BC7" i="32"/>
  <c r="M8" i="32"/>
  <c r="BC8" i="32"/>
  <c r="M9" i="32"/>
  <c r="BC9" i="32"/>
  <c r="M10" i="32"/>
  <c r="BC10" i="32"/>
  <c r="M11" i="32"/>
  <c r="BC11" i="32"/>
  <c r="M12" i="32"/>
  <c r="BC12" i="32"/>
  <c r="M13" i="32"/>
  <c r="BC13" i="32"/>
  <c r="M14" i="32"/>
  <c r="BC14" i="32"/>
  <c r="M15" i="32"/>
  <c r="BC15" i="32"/>
  <c r="M16" i="32"/>
  <c r="BC16" i="32"/>
  <c r="M17" i="32"/>
  <c r="BC17" i="32"/>
  <c r="M18" i="32"/>
  <c r="BC18" i="32"/>
  <c r="M19" i="32"/>
  <c r="BC19" i="32"/>
  <c r="M20" i="32"/>
  <c r="BC20" i="32"/>
  <c r="M21" i="32"/>
  <c r="BC21" i="32"/>
  <c r="M22" i="32"/>
  <c r="BC22" i="32"/>
  <c r="M23" i="32"/>
  <c r="BC23" i="32"/>
  <c r="M24" i="32"/>
  <c r="BC24" i="32"/>
  <c r="M25" i="32"/>
  <c r="BC25" i="32"/>
  <c r="M26" i="32"/>
  <c r="BC26" i="32"/>
  <c r="M27" i="32"/>
  <c r="BC27" i="32"/>
  <c r="M28" i="32"/>
  <c r="BC28" i="32"/>
  <c r="M29" i="32"/>
  <c r="BC29" i="32"/>
  <c r="M30" i="32"/>
  <c r="BC30" i="32"/>
  <c r="M31" i="32"/>
  <c r="BC31" i="32"/>
  <c r="M32" i="32"/>
  <c r="BC32" i="32"/>
  <c r="M6" i="32"/>
  <c r="BC6" i="32"/>
  <c r="W45" i="7"/>
  <c r="AD16" i="7"/>
  <c r="AD15" i="7"/>
  <c r="AS4" i="7"/>
  <c r="AS5" i="7"/>
  <c r="AG18" i="7"/>
  <c r="AE19" i="7"/>
  <c r="AE18" i="7"/>
  <c r="AE17" i="7"/>
  <c r="AE16" i="7"/>
  <c r="AE15" i="7"/>
  <c r="AE14" i="7"/>
  <c r="AE13" i="7"/>
  <c r="AH4" i="7"/>
  <c r="AM9" i="7"/>
  <c r="AN9" i="7"/>
  <c r="AO9" i="7"/>
  <c r="AP9" i="7"/>
  <c r="AP3" i="7"/>
  <c r="G43" i="5"/>
  <c r="C32" i="5"/>
  <c r="F48" i="5"/>
  <c r="AD36" i="7"/>
  <c r="W44" i="7"/>
  <c r="BB6" i="32"/>
  <c r="BB7" i="32"/>
  <c r="BB8" i="32"/>
  <c r="BB9" i="32"/>
  <c r="BB10" i="32"/>
  <c r="BB11" i="32"/>
  <c r="BB12" i="32"/>
  <c r="BB13" i="32"/>
  <c r="BB14" i="32"/>
  <c r="BB15" i="32"/>
  <c r="BB16" i="32"/>
  <c r="BB17" i="32"/>
  <c r="BB19" i="32"/>
  <c r="BB20" i="32"/>
  <c r="BB21" i="32"/>
  <c r="BB22" i="32"/>
  <c r="BB23" i="32"/>
  <c r="BB24" i="32"/>
  <c r="BB25" i="32"/>
  <c r="BB26" i="32"/>
  <c r="BB27" i="32"/>
  <c r="BB28" i="32"/>
  <c r="BB29" i="32"/>
  <c r="BB30" i="32"/>
  <c r="BB31" i="32"/>
  <c r="BB32" i="32"/>
  <c r="P32" i="7"/>
  <c r="C36" i="5"/>
  <c r="E5" i="7"/>
  <c r="E6" i="7"/>
  <c r="E7" i="7"/>
  <c r="E8" i="7"/>
  <c r="E9" i="7"/>
  <c r="E10" i="7"/>
  <c r="E11" i="7"/>
  <c r="E12" i="7"/>
  <c r="E13" i="7"/>
  <c r="E14" i="7"/>
  <c r="E15" i="7"/>
  <c r="E16" i="7"/>
  <c r="E17" i="7"/>
  <c r="E18" i="7"/>
  <c r="E19" i="7"/>
  <c r="E20" i="7"/>
  <c r="E21" i="7"/>
  <c r="E22" i="7"/>
  <c r="E23" i="7"/>
  <c r="E24" i="7"/>
  <c r="E25" i="7"/>
  <c r="E26" i="7"/>
  <c r="E27" i="7"/>
  <c r="E28" i="7"/>
  <c r="E29" i="7"/>
  <c r="E30" i="7"/>
  <c r="E31" i="7"/>
  <c r="BT36" i="7"/>
  <c r="AZ70" i="7"/>
  <c r="F5" i="7"/>
  <c r="E38" i="7"/>
  <c r="F6" i="7"/>
  <c r="E39" i="7"/>
  <c r="Y39" i="7"/>
  <c r="AI39" i="7"/>
  <c r="E73" i="7"/>
  <c r="F7" i="7"/>
  <c r="E40" i="7"/>
  <c r="F8" i="7"/>
  <c r="E41" i="7"/>
  <c r="F9" i="7"/>
  <c r="E42" i="7"/>
  <c r="Y42" i="7"/>
  <c r="AI42" i="7"/>
  <c r="E76" i="7"/>
  <c r="F10" i="7"/>
  <c r="E43" i="7"/>
  <c r="F11" i="7"/>
  <c r="E44" i="7"/>
  <c r="F12" i="7"/>
  <c r="E45" i="7"/>
  <c r="F13" i="7"/>
  <c r="E46" i="7"/>
  <c r="Y46" i="7"/>
  <c r="AI46" i="7"/>
  <c r="F14" i="7"/>
  <c r="E47" i="7"/>
  <c r="Y47" i="7"/>
  <c r="AI47" i="7"/>
  <c r="E81" i="7"/>
  <c r="F15" i="7"/>
  <c r="E48" i="7"/>
  <c r="Y48" i="7"/>
  <c r="AI48" i="7"/>
  <c r="E82" i="7"/>
  <c r="F16" i="7"/>
  <c r="E49" i="7"/>
  <c r="F17" i="7"/>
  <c r="E50" i="7"/>
  <c r="F18" i="7"/>
  <c r="E51" i="7"/>
  <c r="Y51" i="7"/>
  <c r="AI51" i="7"/>
  <c r="F19" i="7"/>
  <c r="E52" i="7"/>
  <c r="Y52" i="7"/>
  <c r="AI52" i="7"/>
  <c r="F20" i="7"/>
  <c r="E53" i="7"/>
  <c r="F21" i="7"/>
  <c r="E54" i="7"/>
  <c r="Y54" i="7"/>
  <c r="AI54" i="7"/>
  <c r="F22" i="7"/>
  <c r="E55" i="7"/>
  <c r="Y55" i="7"/>
  <c r="AI55" i="7"/>
  <c r="F23" i="7"/>
  <c r="E56" i="7"/>
  <c r="F24" i="7"/>
  <c r="E57" i="7"/>
  <c r="F25" i="7"/>
  <c r="E58" i="7"/>
  <c r="Y58" i="7"/>
  <c r="AI58" i="7"/>
  <c r="F26" i="7"/>
  <c r="E59" i="7"/>
  <c r="F27" i="7"/>
  <c r="E60" i="7"/>
  <c r="Y60" i="7"/>
  <c r="AI60" i="7"/>
  <c r="F28" i="7"/>
  <c r="E61" i="7"/>
  <c r="F29" i="7"/>
  <c r="E62" i="7"/>
  <c r="Y62" i="7"/>
  <c r="AI62" i="7"/>
  <c r="F30" i="7"/>
  <c r="E63" i="7"/>
  <c r="F31" i="7"/>
  <c r="E64" i="7"/>
  <c r="Y64" i="7"/>
  <c r="AI64" i="7"/>
  <c r="G5" i="7"/>
  <c r="F38" i="7"/>
  <c r="G6" i="7"/>
  <c r="F39" i="7"/>
  <c r="G7" i="7"/>
  <c r="F40" i="7"/>
  <c r="G8" i="7"/>
  <c r="F41" i="7"/>
  <c r="G9" i="7"/>
  <c r="F42" i="7"/>
  <c r="G10" i="7"/>
  <c r="F43" i="7"/>
  <c r="G11" i="7"/>
  <c r="F44" i="7"/>
  <c r="Z44" i="7"/>
  <c r="AJ44" i="7"/>
  <c r="G12" i="7"/>
  <c r="F45" i="7"/>
  <c r="G13" i="7"/>
  <c r="F46" i="7"/>
  <c r="Z46" i="7"/>
  <c r="AJ46" i="7"/>
  <c r="G14" i="7"/>
  <c r="F47" i="7"/>
  <c r="Z47" i="7"/>
  <c r="AJ47" i="7"/>
  <c r="F81" i="7"/>
  <c r="G15" i="7"/>
  <c r="F48" i="7"/>
  <c r="G16" i="7"/>
  <c r="F49" i="7"/>
  <c r="G17" i="7"/>
  <c r="F50" i="7"/>
  <c r="Z50" i="7"/>
  <c r="AJ50" i="7"/>
  <c r="G18" i="7"/>
  <c r="F51" i="7"/>
  <c r="G19" i="7"/>
  <c r="F52" i="7"/>
  <c r="Z52" i="7"/>
  <c r="AJ52" i="7"/>
  <c r="G20" i="7"/>
  <c r="F53" i="7"/>
  <c r="G21" i="7"/>
  <c r="F54" i="7"/>
  <c r="G22" i="7"/>
  <c r="F55" i="7"/>
  <c r="G23" i="7"/>
  <c r="F56" i="7"/>
  <c r="Z56" i="7"/>
  <c r="AJ56" i="7"/>
  <c r="G24" i="7"/>
  <c r="F57" i="7"/>
  <c r="G25" i="7"/>
  <c r="F58" i="7"/>
  <c r="Z58" i="7"/>
  <c r="AJ58" i="7"/>
  <c r="G26" i="7"/>
  <c r="F59" i="7"/>
  <c r="Z59" i="7"/>
  <c r="AJ59" i="7"/>
  <c r="F93" i="7"/>
  <c r="G27" i="7"/>
  <c r="F60" i="7"/>
  <c r="Z60" i="7"/>
  <c r="AJ60" i="7"/>
  <c r="G28" i="7"/>
  <c r="F61" i="7"/>
  <c r="G29" i="7"/>
  <c r="F62" i="7"/>
  <c r="G30" i="7"/>
  <c r="F63" i="7"/>
  <c r="G31" i="7"/>
  <c r="F64" i="7"/>
  <c r="Z64" i="7"/>
  <c r="AJ64" i="7"/>
  <c r="H5" i="7"/>
  <c r="G38" i="7"/>
  <c r="H6" i="7"/>
  <c r="G39" i="7"/>
  <c r="AA39" i="7"/>
  <c r="AK39" i="7"/>
  <c r="H7" i="7"/>
  <c r="G40" i="7"/>
  <c r="H8" i="7"/>
  <c r="G41" i="7"/>
  <c r="H9" i="7"/>
  <c r="G42" i="7"/>
  <c r="AA42" i="7"/>
  <c r="AK42" i="7"/>
  <c r="BQ42" i="7"/>
  <c r="H10" i="7"/>
  <c r="G43" i="7"/>
  <c r="AA43" i="7"/>
  <c r="AK43" i="7"/>
  <c r="H11" i="7"/>
  <c r="G44" i="7"/>
  <c r="H12" i="7"/>
  <c r="G45" i="7"/>
  <c r="H13" i="7"/>
  <c r="G46" i="7"/>
  <c r="AA46" i="7"/>
  <c r="AK46" i="7"/>
  <c r="G80" i="7"/>
  <c r="H14" i="7"/>
  <c r="G47" i="7"/>
  <c r="H15" i="7"/>
  <c r="G48" i="7"/>
  <c r="AA48" i="7"/>
  <c r="AK48" i="7"/>
  <c r="G82" i="7"/>
  <c r="H16" i="7"/>
  <c r="G49" i="7"/>
  <c r="AA49" i="7"/>
  <c r="AK49" i="7"/>
  <c r="H17" i="7"/>
  <c r="G50" i="7"/>
  <c r="H18" i="7"/>
  <c r="G51" i="7"/>
  <c r="H19" i="7"/>
  <c r="G52" i="7"/>
  <c r="AA52" i="7"/>
  <c r="AK52" i="7"/>
  <c r="H20" i="7"/>
  <c r="G53" i="7"/>
  <c r="H21" i="7"/>
  <c r="G54" i="7"/>
  <c r="AA54" i="7"/>
  <c r="AK54" i="7"/>
  <c r="H22" i="7"/>
  <c r="G55" i="7"/>
  <c r="AA55" i="7"/>
  <c r="AK55" i="7"/>
  <c r="H23" i="7"/>
  <c r="G56" i="7"/>
  <c r="AA56" i="7"/>
  <c r="AK56" i="7"/>
  <c r="H24" i="7"/>
  <c r="G57" i="7"/>
  <c r="H25" i="7"/>
  <c r="G58" i="7"/>
  <c r="H26" i="7"/>
  <c r="G59" i="7"/>
  <c r="AA59" i="7"/>
  <c r="AK59" i="7"/>
  <c r="H27" i="7"/>
  <c r="G60" i="7"/>
  <c r="AA60" i="7"/>
  <c r="AK60" i="7"/>
  <c r="H28" i="7"/>
  <c r="G61" i="7"/>
  <c r="H29" i="7"/>
  <c r="G62" i="7"/>
  <c r="AA62" i="7"/>
  <c r="AK62" i="7"/>
  <c r="H30" i="7"/>
  <c r="G63" i="7"/>
  <c r="H31" i="7"/>
  <c r="G64" i="7"/>
  <c r="I5" i="7"/>
  <c r="H38" i="7"/>
  <c r="I6" i="7"/>
  <c r="H39" i="7"/>
  <c r="I7" i="7"/>
  <c r="H40" i="7"/>
  <c r="AB40" i="7"/>
  <c r="AL40" i="7"/>
  <c r="H74" i="7"/>
  <c r="I8" i="7"/>
  <c r="H41" i="7"/>
  <c r="I9" i="7"/>
  <c r="H42" i="7"/>
  <c r="I10" i="7"/>
  <c r="H43" i="7"/>
  <c r="I11" i="7"/>
  <c r="H44" i="7"/>
  <c r="I12" i="7"/>
  <c r="H45" i="7"/>
  <c r="AB45" i="7"/>
  <c r="AL45" i="7"/>
  <c r="H79" i="7"/>
  <c r="I13" i="7"/>
  <c r="H46" i="7"/>
  <c r="AB46" i="7"/>
  <c r="AL46" i="7"/>
  <c r="H80" i="7"/>
  <c r="I14" i="7"/>
  <c r="H47" i="7"/>
  <c r="I15" i="7"/>
  <c r="H48" i="7"/>
  <c r="I16" i="7"/>
  <c r="H49" i="7"/>
  <c r="I17" i="7"/>
  <c r="H50" i="7"/>
  <c r="AB50" i="7"/>
  <c r="AL50" i="7"/>
  <c r="I18" i="7"/>
  <c r="H51" i="7"/>
  <c r="I19" i="7"/>
  <c r="H52" i="7"/>
  <c r="AB52" i="7"/>
  <c r="AL52" i="7"/>
  <c r="I20" i="7"/>
  <c r="H53" i="7"/>
  <c r="I21" i="7"/>
  <c r="H54" i="7"/>
  <c r="AB54" i="7"/>
  <c r="AL54" i="7"/>
  <c r="I22" i="7"/>
  <c r="H55" i="7"/>
  <c r="I23" i="7"/>
  <c r="H56" i="7"/>
  <c r="AB56" i="7"/>
  <c r="AL56" i="7"/>
  <c r="I24" i="7"/>
  <c r="H57" i="7"/>
  <c r="AB57" i="7"/>
  <c r="AL57" i="7"/>
  <c r="I25" i="7"/>
  <c r="H58" i="7"/>
  <c r="AB58" i="7"/>
  <c r="AL58" i="7"/>
  <c r="I26" i="7"/>
  <c r="H59" i="7"/>
  <c r="I27" i="7"/>
  <c r="H60" i="7"/>
  <c r="AB60" i="7"/>
  <c r="AL60" i="7"/>
  <c r="I28" i="7"/>
  <c r="H61" i="7"/>
  <c r="I29" i="7"/>
  <c r="H62" i="7"/>
  <c r="I30" i="7"/>
  <c r="H63" i="7"/>
  <c r="AB63" i="7"/>
  <c r="AL63" i="7"/>
  <c r="I31" i="7"/>
  <c r="H64" i="7"/>
  <c r="J5" i="7"/>
  <c r="I38" i="7"/>
  <c r="AC38" i="7"/>
  <c r="AM38" i="7"/>
  <c r="J6" i="7"/>
  <c r="I39" i="7"/>
  <c r="J7" i="7"/>
  <c r="I40" i="7"/>
  <c r="J8" i="7"/>
  <c r="I41" i="7"/>
  <c r="AC41" i="7"/>
  <c r="AM41" i="7"/>
  <c r="J9" i="7"/>
  <c r="I42" i="7"/>
  <c r="AC42" i="7"/>
  <c r="AM42" i="7"/>
  <c r="I76" i="7"/>
  <c r="J10" i="7"/>
  <c r="I43" i="7"/>
  <c r="AC43" i="7"/>
  <c r="AM43" i="7"/>
  <c r="J11" i="7"/>
  <c r="I44" i="7"/>
  <c r="J12" i="7"/>
  <c r="I45" i="7"/>
  <c r="AC45" i="7"/>
  <c r="AM45" i="7"/>
  <c r="J13" i="7"/>
  <c r="I46" i="7"/>
  <c r="J14" i="7"/>
  <c r="I47" i="7"/>
  <c r="AC47" i="7"/>
  <c r="AM47" i="7"/>
  <c r="I81" i="7"/>
  <c r="J15" i="7"/>
  <c r="I48" i="7"/>
  <c r="J16" i="7"/>
  <c r="I49" i="7"/>
  <c r="AC49" i="7"/>
  <c r="AM49" i="7"/>
  <c r="I83" i="7"/>
  <c r="J17" i="7"/>
  <c r="I50" i="7"/>
  <c r="J18" i="7"/>
  <c r="I51" i="7"/>
  <c r="AC51" i="7"/>
  <c r="AM51" i="7"/>
  <c r="J19" i="7"/>
  <c r="I52" i="7"/>
  <c r="J20" i="7"/>
  <c r="I53" i="7"/>
  <c r="AC53" i="7"/>
  <c r="AM53" i="7"/>
  <c r="BS53" i="7"/>
  <c r="BI87" i="7"/>
  <c r="J21" i="7"/>
  <c r="I54" i="7"/>
  <c r="AC54" i="7"/>
  <c r="AM54" i="7"/>
  <c r="J22" i="7"/>
  <c r="I55" i="7"/>
  <c r="AC55" i="7"/>
  <c r="AM55" i="7"/>
  <c r="J23" i="7"/>
  <c r="I56" i="7"/>
  <c r="J24" i="7"/>
  <c r="I57" i="7"/>
  <c r="AC57" i="7"/>
  <c r="AM57" i="7"/>
  <c r="J25" i="7"/>
  <c r="I58" i="7"/>
  <c r="J26" i="7"/>
  <c r="I59" i="7"/>
  <c r="AC59" i="7"/>
  <c r="AM59" i="7"/>
  <c r="J27" i="7"/>
  <c r="I60" i="7"/>
  <c r="J28" i="7"/>
  <c r="I61" i="7"/>
  <c r="AC61" i="7"/>
  <c r="AM61" i="7"/>
  <c r="J29" i="7"/>
  <c r="I62" i="7"/>
  <c r="AC62" i="7"/>
  <c r="AM62" i="7"/>
  <c r="J30" i="7"/>
  <c r="I63" i="7"/>
  <c r="J31" i="7"/>
  <c r="I64" i="7"/>
  <c r="Z40" i="7"/>
  <c r="AJ40" i="7"/>
  <c r="F74" i="7"/>
  <c r="D6" i="7"/>
  <c r="C39" i="7"/>
  <c r="W39" i="7"/>
  <c r="D7" i="7"/>
  <c r="C40" i="7"/>
  <c r="W40" i="7"/>
  <c r="D8" i="7"/>
  <c r="C41" i="7"/>
  <c r="W41" i="7"/>
  <c r="D9" i="7"/>
  <c r="C42" i="7"/>
  <c r="W42" i="7"/>
  <c r="D10" i="7"/>
  <c r="C43" i="7"/>
  <c r="W43" i="7"/>
  <c r="D11" i="7"/>
  <c r="C44" i="7"/>
  <c r="D12" i="7"/>
  <c r="C45" i="7"/>
  <c r="D13" i="7"/>
  <c r="C46" i="7"/>
  <c r="W46" i="7"/>
  <c r="D14" i="7"/>
  <c r="C47" i="7"/>
  <c r="W47" i="7"/>
  <c r="D15" i="7"/>
  <c r="C48" i="7"/>
  <c r="W48" i="7"/>
  <c r="D16" i="7"/>
  <c r="C49" i="7"/>
  <c r="W49" i="7"/>
  <c r="D17" i="7"/>
  <c r="C50" i="7"/>
  <c r="W50" i="7"/>
  <c r="D18" i="7"/>
  <c r="C51" i="7"/>
  <c r="W51" i="7"/>
  <c r="D19" i="7"/>
  <c r="C52" i="7"/>
  <c r="D20" i="7"/>
  <c r="C53" i="7"/>
  <c r="D21" i="7"/>
  <c r="C54" i="7"/>
  <c r="W54" i="7"/>
  <c r="D22" i="7"/>
  <c r="C55" i="7"/>
  <c r="W55" i="7"/>
  <c r="D23" i="7"/>
  <c r="C56" i="7"/>
  <c r="W56" i="7"/>
  <c r="D24" i="7"/>
  <c r="C57" i="7"/>
  <c r="W57" i="7"/>
  <c r="D25" i="7"/>
  <c r="C58" i="7"/>
  <c r="W58" i="7"/>
  <c r="D26" i="7"/>
  <c r="C59" i="7"/>
  <c r="W59" i="7"/>
  <c r="D27" i="7"/>
  <c r="C60" i="7"/>
  <c r="W60" i="7"/>
  <c r="D28" i="7"/>
  <c r="C61" i="7"/>
  <c r="W61" i="7"/>
  <c r="D29" i="7"/>
  <c r="C62" i="7"/>
  <c r="W62" i="7"/>
  <c r="D30" i="7"/>
  <c r="C63" i="7"/>
  <c r="W63" i="7"/>
  <c r="D31" i="7"/>
  <c r="C64" i="7"/>
  <c r="W64" i="7"/>
  <c r="D5" i="7"/>
  <c r="C38" i="7"/>
  <c r="W38" i="7"/>
  <c r="AC50" i="32"/>
  <c r="AC54" i="32"/>
  <c r="AC59" i="32"/>
  <c r="AC62" i="32"/>
  <c r="C67" i="32"/>
  <c r="D67" i="32"/>
  <c r="E67" i="32"/>
  <c r="F67" i="32"/>
  <c r="G67" i="32"/>
  <c r="H67" i="32"/>
  <c r="B67" i="32"/>
  <c r="R5" i="7"/>
  <c r="R6" i="7"/>
  <c r="R7" i="7"/>
  <c r="R8" i="7"/>
  <c r="R9" i="7"/>
  <c r="R10" i="7"/>
  <c r="R11" i="7"/>
  <c r="R12" i="7"/>
  <c r="R13" i="7"/>
  <c r="R14" i="7"/>
  <c r="R15" i="7"/>
  <c r="R16" i="7"/>
  <c r="R17" i="7"/>
  <c r="R18" i="7"/>
  <c r="R19" i="7"/>
  <c r="R20" i="7"/>
  <c r="R21" i="7"/>
  <c r="R22" i="7"/>
  <c r="R23" i="7"/>
  <c r="R24" i="7"/>
  <c r="R25" i="7"/>
  <c r="R26" i="7"/>
  <c r="R27" i="7"/>
  <c r="R28" i="7"/>
  <c r="R29" i="7"/>
  <c r="R30" i="7"/>
  <c r="R31" i="7"/>
  <c r="R4" i="7"/>
  <c r="BB18" i="32"/>
  <c r="AL11" i="32"/>
  <c r="AW11" i="32"/>
  <c r="AJ11" i="32"/>
  <c r="AU11" i="32"/>
  <c r="AJ16" i="32"/>
  <c r="AU16" i="32"/>
  <c r="AG20" i="32"/>
  <c r="AR20" i="32"/>
  <c r="AH20" i="32"/>
  <c r="AS20" i="32"/>
  <c r="AX6" i="32"/>
  <c r="AY6" i="32"/>
  <c r="AZ6" i="32"/>
  <c r="AX7" i="32"/>
  <c r="AY7" i="32"/>
  <c r="AZ7" i="32"/>
  <c r="AX8" i="32"/>
  <c r="AY8" i="32"/>
  <c r="AZ8" i="32"/>
  <c r="AX9" i="32"/>
  <c r="AY9" i="32"/>
  <c r="AZ9" i="32"/>
  <c r="AX10" i="32"/>
  <c r="AY10" i="32"/>
  <c r="AZ10" i="32"/>
  <c r="AX11" i="32"/>
  <c r="AY11" i="32"/>
  <c r="AZ11" i="32"/>
  <c r="AX12" i="32"/>
  <c r="AY12" i="32"/>
  <c r="AZ12" i="32"/>
  <c r="AX13" i="32"/>
  <c r="AY13" i="32"/>
  <c r="AZ13" i="32"/>
  <c r="AX14" i="32"/>
  <c r="AY14" i="32"/>
  <c r="AZ14" i="32"/>
  <c r="AX15" i="32"/>
  <c r="AY15" i="32"/>
  <c r="AZ15" i="32"/>
  <c r="AX16" i="32"/>
  <c r="AY16" i="32"/>
  <c r="AZ16" i="32"/>
  <c r="AX17" i="32"/>
  <c r="AY17" i="32"/>
  <c r="AZ17" i="32"/>
  <c r="AX18" i="32"/>
  <c r="AY18" i="32"/>
  <c r="AZ18" i="32"/>
  <c r="AX19" i="32"/>
  <c r="AY19" i="32"/>
  <c r="AZ19" i="32"/>
  <c r="AX20" i="32"/>
  <c r="AY20" i="32"/>
  <c r="AZ20" i="32"/>
  <c r="AX21" i="32"/>
  <c r="AY21" i="32"/>
  <c r="AZ21" i="32"/>
  <c r="AX22" i="32"/>
  <c r="AY22" i="32"/>
  <c r="AZ22" i="32"/>
  <c r="AX23" i="32"/>
  <c r="AY23" i="32"/>
  <c r="AZ23" i="32"/>
  <c r="AX24" i="32"/>
  <c r="AY24" i="32"/>
  <c r="AZ24" i="32"/>
  <c r="AX25" i="32"/>
  <c r="AY25" i="32"/>
  <c r="AZ25" i="32"/>
  <c r="AX26" i="32"/>
  <c r="AY26" i="32"/>
  <c r="AZ26" i="32"/>
  <c r="AX27" i="32"/>
  <c r="AY27" i="32"/>
  <c r="AZ27" i="32"/>
  <c r="AX28" i="32"/>
  <c r="AY28" i="32"/>
  <c r="AZ28" i="32"/>
  <c r="AX29" i="32"/>
  <c r="AY29" i="32"/>
  <c r="AZ29" i="32"/>
  <c r="AX30" i="32"/>
  <c r="AY30" i="32"/>
  <c r="AZ30" i="32"/>
  <c r="AX31" i="32"/>
  <c r="AY31" i="32"/>
  <c r="AZ31" i="32"/>
  <c r="AX32" i="32"/>
  <c r="AY32" i="32"/>
  <c r="AZ32" i="32"/>
  <c r="AX33" i="32"/>
  <c r="AY33" i="32"/>
  <c r="AZ33" i="32"/>
  <c r="L68" i="32"/>
  <c r="L42" i="32"/>
  <c r="R32" i="7"/>
  <c r="C26" i="27"/>
  <c r="D26" i="27"/>
  <c r="C27" i="27"/>
  <c r="D27" i="27"/>
  <c r="AA55" i="32"/>
  <c r="M68" i="32"/>
  <c r="M48" i="32"/>
  <c r="N68" i="32"/>
  <c r="N43" i="32"/>
  <c r="O68" i="32"/>
  <c r="O43" i="32"/>
  <c r="P68" i="32"/>
  <c r="P57" i="32"/>
  <c r="Q68" i="32"/>
  <c r="Q42" i="32"/>
  <c r="R68" i="32"/>
  <c r="R43" i="32"/>
  <c r="S68" i="32"/>
  <c r="T68" i="32"/>
  <c r="V68" i="32"/>
  <c r="V51" i="32"/>
  <c r="W68" i="32"/>
  <c r="W58" i="32"/>
  <c r="X68" i="32"/>
  <c r="X44" i="32"/>
  <c r="X57" i="32"/>
  <c r="Y68" i="32"/>
  <c r="Y66" i="32"/>
  <c r="Z68" i="32"/>
  <c r="AA68" i="32"/>
  <c r="AA41" i="32"/>
  <c r="AB68" i="32"/>
  <c r="AB48" i="32"/>
  <c r="Q41" i="32"/>
  <c r="Q52" i="32"/>
  <c r="Q64" i="32"/>
  <c r="M56" i="32"/>
  <c r="M58" i="32"/>
  <c r="L44" i="32"/>
  <c r="L41" i="32"/>
  <c r="L52" i="32"/>
  <c r="L53" i="32"/>
  <c r="L63" i="32"/>
  <c r="L64" i="32"/>
  <c r="AC3" i="32"/>
  <c r="AC2" i="32"/>
  <c r="V13" i="32"/>
  <c r="AC4" i="32"/>
  <c r="W22" i="32"/>
  <c r="Z72" i="7"/>
  <c r="AA72" i="7"/>
  <c r="Z73" i="7"/>
  <c r="AA73" i="7"/>
  <c r="Z74" i="7"/>
  <c r="AA74" i="7"/>
  <c r="Z75" i="7"/>
  <c r="AA75" i="7"/>
  <c r="Z76" i="7"/>
  <c r="AA76" i="7"/>
  <c r="Z77" i="7"/>
  <c r="AA77" i="7"/>
  <c r="Z78" i="7"/>
  <c r="AA78" i="7"/>
  <c r="Z79" i="7"/>
  <c r="AA79" i="7"/>
  <c r="Z80" i="7"/>
  <c r="AA80" i="7"/>
  <c r="Z81" i="7"/>
  <c r="AA81" i="7"/>
  <c r="Z82" i="7"/>
  <c r="AA82" i="7"/>
  <c r="Z83" i="7"/>
  <c r="AA83" i="7"/>
  <c r="Z84" i="7"/>
  <c r="AA84" i="7"/>
  <c r="Z85" i="7"/>
  <c r="AA85" i="7"/>
  <c r="Z86" i="7"/>
  <c r="AA86" i="7"/>
  <c r="Z87" i="7"/>
  <c r="AA87" i="7"/>
  <c r="Z88" i="7"/>
  <c r="AA88" i="7"/>
  <c r="Z89" i="7"/>
  <c r="AA89" i="7"/>
  <c r="Z90" i="7"/>
  <c r="AA90" i="7"/>
  <c r="Z91" i="7"/>
  <c r="AA91" i="7"/>
  <c r="Z92" i="7"/>
  <c r="AA92" i="7"/>
  <c r="Z93" i="7"/>
  <c r="AA93" i="7"/>
  <c r="Z94" i="7"/>
  <c r="AA94" i="7"/>
  <c r="Z95" i="7"/>
  <c r="AA95" i="7"/>
  <c r="Z96" i="7"/>
  <c r="AA96" i="7"/>
  <c r="Z97" i="7"/>
  <c r="AA97" i="7"/>
  <c r="Z98" i="7"/>
  <c r="AA98" i="7"/>
  <c r="AZ101" i="7"/>
  <c r="N4" i="7"/>
  <c r="O13" i="7"/>
  <c r="J65" i="7"/>
  <c r="K4" i="7"/>
  <c r="O19" i="7"/>
  <c r="O9" i="7"/>
  <c r="N63" i="32"/>
  <c r="W48" i="32"/>
  <c r="W57" i="32"/>
  <c r="X47" i="32"/>
  <c r="N51" i="32"/>
  <c r="AA43" i="32"/>
  <c r="AA52" i="32"/>
  <c r="W46" i="32"/>
  <c r="P47" i="32"/>
  <c r="Y43" i="32"/>
  <c r="W61" i="32"/>
  <c r="AA29" i="32"/>
  <c r="M55" i="32"/>
  <c r="W44" i="32"/>
  <c r="V47" i="32"/>
  <c r="AA51" i="32"/>
  <c r="W56" i="32"/>
  <c r="V58" i="32"/>
  <c r="AB61" i="32"/>
  <c r="AA63" i="32"/>
  <c r="AB51" i="32"/>
  <c r="M40" i="32"/>
  <c r="M47" i="32"/>
  <c r="AB47" i="32"/>
  <c r="AA48" i="32"/>
  <c r="Z51" i="32"/>
  <c r="Y52" i="32"/>
  <c r="AB58" i="32"/>
  <c r="AA61" i="32"/>
  <c r="AB63" i="32"/>
  <c r="M46" i="32"/>
  <c r="X41" i="32"/>
  <c r="W42" i="32"/>
  <c r="W53" i="32"/>
  <c r="V56" i="32"/>
  <c r="AA58" i="32"/>
  <c r="X64" i="32"/>
  <c r="W66" i="32"/>
  <c r="M44" i="32"/>
  <c r="W41" i="32"/>
  <c r="AA46" i="32"/>
  <c r="W52" i="32"/>
  <c r="W64" i="32"/>
  <c r="M43" i="32"/>
  <c r="W40" i="32"/>
  <c r="AA44" i="32"/>
  <c r="W51" i="32"/>
  <c r="AA56" i="32"/>
  <c r="Y58" i="32"/>
  <c r="W63" i="32"/>
  <c r="AB42" i="32"/>
  <c r="AB66" i="32"/>
  <c r="M57" i="32"/>
  <c r="W47" i="32"/>
  <c r="AA53" i="32"/>
  <c r="N46" i="32"/>
  <c r="O51" i="32"/>
  <c r="O40" i="32"/>
  <c r="L61" i="32"/>
  <c r="M66" i="32"/>
  <c r="M53" i="32"/>
  <c r="M42" i="32"/>
  <c r="O48" i="32"/>
  <c r="L47" i="32"/>
  <c r="M64" i="32"/>
  <c r="M52" i="32"/>
  <c r="M41" i="32"/>
  <c r="N55" i="32"/>
  <c r="P44" i="32"/>
  <c r="L57" i="32"/>
  <c r="M63" i="32"/>
  <c r="M51" i="32"/>
  <c r="N53" i="32"/>
  <c r="O57" i="32"/>
  <c r="O46" i="32"/>
  <c r="P51" i="32"/>
  <c r="O64" i="32"/>
  <c r="M61" i="32"/>
  <c r="N64" i="32"/>
  <c r="AO55" i="7"/>
  <c r="BU55" i="7"/>
  <c r="AO50" i="7"/>
  <c r="AO61" i="7"/>
  <c r="BU61" i="7"/>
  <c r="AO62" i="7"/>
  <c r="BU62" i="7"/>
  <c r="AO45" i="7"/>
  <c r="BU45" i="7"/>
  <c r="AO52" i="7"/>
  <c r="BU52" i="7"/>
  <c r="AO46" i="7"/>
  <c r="AO39" i="7"/>
  <c r="BU39" i="7"/>
  <c r="AO56" i="7"/>
  <c r="BU56" i="7"/>
  <c r="AO44" i="7"/>
  <c r="BU44" i="7"/>
  <c r="AO60" i="7"/>
  <c r="AO53" i="7"/>
  <c r="BU53" i="7"/>
  <c r="AO59" i="7"/>
  <c r="BU59" i="7"/>
  <c r="AO54" i="7"/>
  <c r="BU54" i="7"/>
  <c r="AO48" i="7"/>
  <c r="AO42" i="7"/>
  <c r="BU42" i="7"/>
  <c r="AO64" i="7"/>
  <c r="BU64" i="7"/>
  <c r="AO47" i="7"/>
  <c r="BU47" i="7"/>
  <c r="AO41" i="7"/>
  <c r="AO57" i="7"/>
  <c r="BU57" i="7"/>
  <c r="AO63" i="7"/>
  <c r="BU63" i="7"/>
  <c r="AO58" i="7"/>
  <c r="AO49" i="7"/>
  <c r="BU49" i="7"/>
  <c r="AD52" i="7"/>
  <c r="AN52" i="7"/>
  <c r="AD42" i="7"/>
  <c r="AN42" i="7"/>
  <c r="AO51" i="7"/>
  <c r="BU51" i="7"/>
  <c r="AO43" i="7"/>
  <c r="BU43" i="7"/>
  <c r="AO40" i="7"/>
  <c r="BU40" i="7"/>
  <c r="AD44" i="7"/>
  <c r="AN44" i="7"/>
  <c r="G76" i="7"/>
  <c r="AD60" i="7"/>
  <c r="AN60" i="7"/>
  <c r="M65" i="7"/>
  <c r="M95" i="7"/>
  <c r="M84" i="7"/>
  <c r="M81" i="7"/>
  <c r="M87" i="7"/>
  <c r="M93" i="7"/>
  <c r="M73" i="7"/>
  <c r="AO38" i="7"/>
  <c r="F84" i="7"/>
  <c r="F90" i="7"/>
  <c r="BU46" i="7"/>
  <c r="G73" i="7"/>
  <c r="BU48" i="7"/>
  <c r="BU58" i="7"/>
  <c r="BU60" i="7"/>
  <c r="BU41" i="7"/>
  <c r="BU50" i="7"/>
  <c r="M92" i="7"/>
  <c r="M74" i="7"/>
  <c r="M96" i="7"/>
  <c r="M88" i="7"/>
  <c r="M86" i="7"/>
  <c r="M79" i="7"/>
  <c r="M89" i="7"/>
  <c r="M94" i="7"/>
  <c r="M76" i="7"/>
  <c r="M82" i="7"/>
  <c r="M97" i="7"/>
  <c r="M78" i="7"/>
  <c r="M90" i="7"/>
  <c r="M83" i="7"/>
  <c r="M75" i="7"/>
  <c r="M72" i="7"/>
  <c r="M91" i="7"/>
  <c r="M80" i="7"/>
  <c r="M85" i="7"/>
  <c r="M98" i="7"/>
  <c r="M77" i="7"/>
  <c r="AQ65" i="7"/>
  <c r="M99" i="7"/>
  <c r="AA15" i="32"/>
  <c r="W53" i="7"/>
  <c r="AA32" i="32"/>
  <c r="W52" i="7"/>
  <c r="BS61" i="7"/>
  <c r="BP46" i="7"/>
  <c r="BS54" i="7"/>
  <c r="BP50" i="7"/>
  <c r="BF84" i="7"/>
  <c r="BS43" i="7"/>
  <c r="BO54" i="7"/>
  <c r="AU88" i="7"/>
  <c r="E88" i="7"/>
  <c r="Y50" i="7"/>
  <c r="AI50" i="7"/>
  <c r="Y44" i="7"/>
  <c r="AI44" i="7"/>
  <c r="E78" i="7"/>
  <c r="I77" i="7"/>
  <c r="P63" i="32"/>
  <c r="P41" i="32"/>
  <c r="P42" i="32"/>
  <c r="P43" i="32"/>
  <c r="X48" i="32"/>
  <c r="X51" i="32"/>
  <c r="Y63" i="32"/>
  <c r="Q58" i="32"/>
  <c r="Q47" i="32"/>
  <c r="R63" i="32"/>
  <c r="AB64" i="32"/>
  <c r="O44" i="32"/>
  <c r="Y43" i="7"/>
  <c r="AI43" i="7"/>
  <c r="E77" i="7"/>
  <c r="R41" i="32"/>
  <c r="P52" i="32"/>
  <c r="P53" i="32"/>
  <c r="P55" i="32"/>
  <c r="Y47" i="32"/>
  <c r="Y48" i="32"/>
  <c r="AK14" i="32"/>
  <c r="AV14" i="32"/>
  <c r="Y41" i="32"/>
  <c r="X55" i="32"/>
  <c r="Y55" i="32"/>
  <c r="X56" i="32"/>
  <c r="Q57" i="32"/>
  <c r="Q46" i="32"/>
  <c r="R61" i="32"/>
  <c r="AG6" i="7"/>
  <c r="R47" i="32"/>
  <c r="Q63" i="32"/>
  <c r="R42" i="32"/>
  <c r="P64" i="32"/>
  <c r="P66" i="32"/>
  <c r="Y64" i="32"/>
  <c r="AI30" i="32"/>
  <c r="AT30" i="32"/>
  <c r="Y53" i="32"/>
  <c r="Q56" i="32"/>
  <c r="Q44" i="32"/>
  <c r="R55" i="32"/>
  <c r="Q40" i="32"/>
  <c r="Y44" i="32"/>
  <c r="Y40" i="32"/>
  <c r="AI6" i="32"/>
  <c r="AT6" i="32"/>
  <c r="Y57" i="32"/>
  <c r="Q61" i="32"/>
  <c r="Q48" i="32"/>
  <c r="P48" i="32"/>
  <c r="Y46" i="32"/>
  <c r="Z20" i="32"/>
  <c r="Q55" i="32"/>
  <c r="Q43" i="32"/>
  <c r="R53" i="32"/>
  <c r="Y61" i="32"/>
  <c r="Y42" i="32"/>
  <c r="Q51" i="32"/>
  <c r="R66" i="32"/>
  <c r="X61" i="32"/>
  <c r="X40" i="32"/>
  <c r="Y51" i="32"/>
  <c r="AK17" i="32"/>
  <c r="AV17" i="32"/>
  <c r="P58" i="32"/>
  <c r="Q66" i="32"/>
  <c r="Q53" i="32"/>
  <c r="R51" i="32"/>
  <c r="Y56" i="32"/>
  <c r="R48" i="32"/>
  <c r="AU13" i="7"/>
  <c r="AG4" i="7"/>
  <c r="AK4" i="7"/>
  <c r="AC51" i="32"/>
  <c r="BP58" i="7"/>
  <c r="AL92" i="7"/>
  <c r="F92" i="7"/>
  <c r="Z44" i="32"/>
  <c r="Z55" i="32"/>
  <c r="Z53" i="32"/>
  <c r="Z64" i="32"/>
  <c r="Z58" i="32"/>
  <c r="Z43" i="32"/>
  <c r="Z42" i="32"/>
  <c r="Z47" i="32"/>
  <c r="AL13" i="32"/>
  <c r="AW13" i="32"/>
  <c r="Z46" i="32"/>
  <c r="AJ12" i="32"/>
  <c r="AU12" i="32"/>
  <c r="Z52" i="32"/>
  <c r="Z61" i="32"/>
  <c r="Z41" i="32"/>
  <c r="Z48" i="32"/>
  <c r="Z66" i="32"/>
  <c r="Z57" i="32"/>
  <c r="Z56" i="32"/>
  <c r="AC56" i="32"/>
  <c r="Z63" i="32"/>
  <c r="AG8" i="32"/>
  <c r="AR8" i="32"/>
  <c r="Z40" i="32"/>
  <c r="J86" i="7"/>
  <c r="BT52" i="7"/>
  <c r="AZ86" i="7"/>
  <c r="AK22" i="32"/>
  <c r="AV22" i="32"/>
  <c r="AG17" i="32"/>
  <c r="AR17" i="32"/>
  <c r="V63" i="32"/>
  <c r="AI29" i="32"/>
  <c r="AT29" i="32"/>
  <c r="V48" i="32"/>
  <c r="V44" i="32"/>
  <c r="AH10" i="32"/>
  <c r="AS10" i="32"/>
  <c r="V55" i="32"/>
  <c r="V66" i="32"/>
  <c r="AI32" i="32"/>
  <c r="AT32" i="32"/>
  <c r="V40" i="32"/>
  <c r="AH6" i="32"/>
  <c r="AS6" i="32"/>
  <c r="V43" i="32"/>
  <c r="AF9" i="32"/>
  <c r="AQ9" i="32"/>
  <c r="V42" i="32"/>
  <c r="V53" i="32"/>
  <c r="AC53" i="32"/>
  <c r="V41" i="32"/>
  <c r="AI7" i="32"/>
  <c r="AT7" i="32"/>
  <c r="V46" i="32"/>
  <c r="AF12" i="32"/>
  <c r="AQ12" i="32"/>
  <c r="V52" i="32"/>
  <c r="V64" i="32"/>
  <c r="AG30" i="32"/>
  <c r="AR30" i="32"/>
  <c r="V57" i="32"/>
  <c r="AF23" i="32"/>
  <c r="AQ23" i="32"/>
  <c r="V61" i="32"/>
  <c r="AH27" i="32"/>
  <c r="AS27" i="32"/>
  <c r="BS38" i="7"/>
  <c r="I72" i="7"/>
  <c r="BQ62" i="7"/>
  <c r="AW96" i="7"/>
  <c r="G96" i="7"/>
  <c r="BP56" i="7"/>
  <c r="L56" i="32"/>
  <c r="N42" i="32"/>
  <c r="L48" i="32"/>
  <c r="O63" i="32"/>
  <c r="X46" i="32"/>
  <c r="AH12" i="32"/>
  <c r="AS12" i="32"/>
  <c r="AB53" i="32"/>
  <c r="X63" i="32"/>
  <c r="X52" i="32"/>
  <c r="AH18" i="32"/>
  <c r="AS18" i="32"/>
  <c r="X43" i="32"/>
  <c r="N48" i="32"/>
  <c r="O29" i="7"/>
  <c r="O25" i="7"/>
  <c r="O11" i="7"/>
  <c r="L55" i="32"/>
  <c r="R64" i="32"/>
  <c r="R52" i="32"/>
  <c r="R40" i="32"/>
  <c r="N41" i="32"/>
  <c r="AA64" i="32"/>
  <c r="AK30" i="32"/>
  <c r="AV30" i="32"/>
  <c r="O17" i="7"/>
  <c r="O30" i="7"/>
  <c r="O16" i="7"/>
  <c r="N66" i="32"/>
  <c r="O61" i="32"/>
  <c r="N57" i="32"/>
  <c r="O7" i="7"/>
  <c r="P61" i="32"/>
  <c r="P40" i="32"/>
  <c r="O47" i="32"/>
  <c r="L58" i="32"/>
  <c r="N44" i="32"/>
  <c r="P46" i="32"/>
  <c r="P56" i="32"/>
  <c r="AA42" i="32"/>
  <c r="AB55" i="32"/>
  <c r="AL21" i="32"/>
  <c r="AW21" i="32"/>
  <c r="AB43" i="32"/>
  <c r="AA57" i="32"/>
  <c r="AK23" i="32"/>
  <c r="AV23" i="32"/>
  <c r="AB44" i="32"/>
  <c r="AA47" i="32"/>
  <c r="AB40" i="32"/>
  <c r="W55" i="32"/>
  <c r="AH21" i="32"/>
  <c r="AS21" i="32"/>
  <c r="W43" i="32"/>
  <c r="AA40" i="32"/>
  <c r="AK6" i="32"/>
  <c r="AV6" i="32"/>
  <c r="O66" i="32"/>
  <c r="N61" i="32"/>
  <c r="N58" i="32"/>
  <c r="O28" i="7"/>
  <c r="O15" i="7"/>
  <c r="O10" i="7"/>
  <c r="O24" i="7"/>
  <c r="V22" i="32"/>
  <c r="L51" i="32"/>
  <c r="N40" i="32"/>
  <c r="R58" i="32"/>
  <c r="R46" i="32"/>
  <c r="AA66" i="32"/>
  <c r="O21" i="7"/>
  <c r="O14" i="7"/>
  <c r="O12" i="7"/>
  <c r="O27" i="7"/>
  <c r="O53" i="32"/>
  <c r="O41" i="32"/>
  <c r="O42" i="32"/>
  <c r="O20" i="7"/>
  <c r="O22" i="7"/>
  <c r="O8" i="7"/>
  <c r="N47" i="32"/>
  <c r="O56" i="32"/>
  <c r="O58" i="32"/>
  <c r="O52" i="32"/>
  <c r="N56" i="32"/>
  <c r="AB41" i="32"/>
  <c r="AB56" i="32"/>
  <c r="AB46" i="32"/>
  <c r="X66" i="32"/>
  <c r="AH32" i="32"/>
  <c r="AS32" i="32"/>
  <c r="X53" i="32"/>
  <c r="X42" i="32"/>
  <c r="AJ8" i="32"/>
  <c r="AU8" i="32"/>
  <c r="O55" i="32"/>
  <c r="O6" i="7"/>
  <c r="O23" i="7"/>
  <c r="O18" i="7"/>
  <c r="Z99" i="7"/>
  <c r="L43" i="32"/>
  <c r="R57" i="32"/>
  <c r="R44" i="32"/>
  <c r="N52" i="32"/>
  <c r="L46" i="32"/>
  <c r="L40" i="32"/>
  <c r="AB52" i="32"/>
  <c r="AB57" i="32"/>
  <c r="AL23" i="32"/>
  <c r="AW23" i="32"/>
  <c r="X58" i="32"/>
  <c r="AH24" i="32"/>
  <c r="AS24" i="32"/>
  <c r="O5" i="7"/>
  <c r="O31" i="7"/>
  <c r="O26" i="7"/>
  <c r="L66" i="32"/>
  <c r="R56" i="32"/>
  <c r="I87" i="7"/>
  <c r="AO87" i="7"/>
  <c r="J94" i="7"/>
  <c r="BT60" i="7"/>
  <c r="BR60" i="7"/>
  <c r="AN94" i="7"/>
  <c r="H94" i="7"/>
  <c r="BR50" i="7"/>
  <c r="AX84" i="7"/>
  <c r="H84" i="7"/>
  <c r="C65" i="7"/>
  <c r="H65" i="7"/>
  <c r="E86" i="7"/>
  <c r="BO52" i="7"/>
  <c r="AU86" i="7"/>
  <c r="E65" i="7"/>
  <c r="Y38" i="7"/>
  <c r="AI38" i="7"/>
  <c r="E72" i="7"/>
  <c r="BT44" i="7"/>
  <c r="J78" i="7"/>
  <c r="G83" i="7"/>
  <c r="BQ49" i="7"/>
  <c r="AM83" i="7"/>
  <c r="BS55" i="7"/>
  <c r="I89" i="7"/>
  <c r="I75" i="7"/>
  <c r="BS41" i="7"/>
  <c r="AO75" i="7"/>
  <c r="BP52" i="7"/>
  <c r="F86" i="7"/>
  <c r="F65" i="7"/>
  <c r="Z38" i="7"/>
  <c r="AJ38" i="7"/>
  <c r="BP38" i="7"/>
  <c r="BO60" i="7"/>
  <c r="BE94" i="7"/>
  <c r="E94" i="7"/>
  <c r="G65" i="7"/>
  <c r="AA38" i="7"/>
  <c r="AK38" i="7"/>
  <c r="G72" i="7"/>
  <c r="E89" i="7"/>
  <c r="BO55" i="7"/>
  <c r="BE89" i="7"/>
  <c r="AD38" i="7"/>
  <c r="AN38" i="7"/>
  <c r="BT38" i="7"/>
  <c r="AZ72" i="7"/>
  <c r="Z45" i="7"/>
  <c r="AJ45" i="7"/>
  <c r="AB55" i="7"/>
  <c r="AL55" i="7"/>
  <c r="BR55" i="7"/>
  <c r="AD46" i="7"/>
  <c r="AN46" i="7"/>
  <c r="AD45" i="7"/>
  <c r="AN45" i="7"/>
  <c r="AA45" i="7"/>
  <c r="AK45" i="7"/>
  <c r="AA51" i="7"/>
  <c r="AK51" i="7"/>
  <c r="Z57" i="7"/>
  <c r="AJ57" i="7"/>
  <c r="AD50" i="7"/>
  <c r="AN50" i="7"/>
  <c r="J84" i="7"/>
  <c r="AD55" i="7"/>
  <c r="AN55" i="7"/>
  <c r="BT55" i="7"/>
  <c r="BJ89" i="7"/>
  <c r="AD51" i="7"/>
  <c r="AN51" i="7"/>
  <c r="BT51" i="7"/>
  <c r="Y41" i="7"/>
  <c r="AI41" i="7"/>
  <c r="BO41" i="7"/>
  <c r="AC48" i="7"/>
  <c r="AM48" i="7"/>
  <c r="I82" i="7"/>
  <c r="Y53" i="7"/>
  <c r="AI53" i="7"/>
  <c r="AD41" i="7"/>
  <c r="AN41" i="7"/>
  <c r="BT41" i="7"/>
  <c r="AD64" i="7"/>
  <c r="AN64" i="7"/>
  <c r="AD53" i="7"/>
  <c r="AN53" i="7"/>
  <c r="AD40" i="7"/>
  <c r="AN40" i="7"/>
  <c r="J74" i="7"/>
  <c r="AD49" i="7"/>
  <c r="AN49" i="7"/>
  <c r="BT49" i="7"/>
  <c r="AZ83" i="7"/>
  <c r="Z41" i="7"/>
  <c r="AJ41" i="7"/>
  <c r="F75" i="7"/>
  <c r="Y49" i="7"/>
  <c r="AI49" i="7"/>
  <c r="Z53" i="7"/>
  <c r="AJ53" i="7"/>
  <c r="AC64" i="7"/>
  <c r="AM64" i="7"/>
  <c r="AD61" i="7"/>
  <c r="AN61" i="7"/>
  <c r="AD43" i="7"/>
  <c r="AN43" i="7"/>
  <c r="BT43" i="7"/>
  <c r="BJ77" i="7"/>
  <c r="AD56" i="7"/>
  <c r="AN56" i="7"/>
  <c r="J90" i="7"/>
  <c r="AD39" i="7"/>
  <c r="AN39" i="7"/>
  <c r="Z43" i="7"/>
  <c r="AJ43" i="7"/>
  <c r="F77" i="7"/>
  <c r="AD48" i="7"/>
  <c r="AN48" i="7"/>
  <c r="J82" i="7"/>
  <c r="Y61" i="7"/>
  <c r="AI61" i="7"/>
  <c r="AD58" i="7"/>
  <c r="AN58" i="7"/>
  <c r="AD57" i="7"/>
  <c r="AN57" i="7"/>
  <c r="Z63" i="7"/>
  <c r="AJ63" i="7"/>
  <c r="BP63" i="7"/>
  <c r="Z49" i="7"/>
  <c r="AJ49" i="7"/>
  <c r="BP49" i="7"/>
  <c r="AA61" i="7"/>
  <c r="AK61" i="7"/>
  <c r="BQ61" i="7"/>
  <c r="AD54" i="7"/>
  <c r="AN54" i="7"/>
  <c r="J88" i="7"/>
  <c r="AD62" i="7"/>
  <c r="AN62" i="7"/>
  <c r="AD59" i="7"/>
  <c r="AN59" i="7"/>
  <c r="J93" i="7"/>
  <c r="AD63" i="7"/>
  <c r="AN63" i="7"/>
  <c r="AB44" i="7"/>
  <c r="AL44" i="7"/>
  <c r="H78" i="7"/>
  <c r="AO65" i="7"/>
  <c r="BU65" i="7"/>
  <c r="BU38" i="7"/>
  <c r="BG76" i="7"/>
  <c r="AM76" i="7"/>
  <c r="BR56" i="7"/>
  <c r="BH90" i="7"/>
  <c r="H90" i="7"/>
  <c r="H91" i="7"/>
  <c r="BR57" i="7"/>
  <c r="AX91" i="7"/>
  <c r="G94" i="7"/>
  <c r="BQ60" i="7"/>
  <c r="BP64" i="7"/>
  <c r="F98" i="7"/>
  <c r="BQ55" i="7"/>
  <c r="G89" i="7"/>
  <c r="BQ43" i="7"/>
  <c r="G77" i="7"/>
  <c r="I91" i="7"/>
  <c r="BS57" i="7"/>
  <c r="AY91" i="7"/>
  <c r="I65" i="7"/>
  <c r="AC39" i="7"/>
  <c r="AM39" i="7"/>
  <c r="I73" i="7"/>
  <c r="BQ59" i="7"/>
  <c r="G93" i="7"/>
  <c r="BQ54" i="7"/>
  <c r="AW88" i="7"/>
  <c r="G88" i="7"/>
  <c r="BO62" i="7"/>
  <c r="AK96" i="7"/>
  <c r="E96" i="7"/>
  <c r="AA99" i="7"/>
  <c r="AZ78" i="7"/>
  <c r="AP78" i="7"/>
  <c r="BT42" i="7"/>
  <c r="BJ76" i="7"/>
  <c r="J76" i="7"/>
  <c r="Z23" i="32"/>
  <c r="W31" i="32"/>
  <c r="Y11" i="32"/>
  <c r="BR52" i="7"/>
  <c r="AX86" i="7"/>
  <c r="H86" i="7"/>
  <c r="Y14" i="32"/>
  <c r="G95" i="7"/>
  <c r="BP60" i="7"/>
  <c r="F94" i="7"/>
  <c r="BO51" i="7"/>
  <c r="E85" i="7"/>
  <c r="BS45" i="7"/>
  <c r="BI79" i="7"/>
  <c r="I79" i="7"/>
  <c r="BR40" i="7"/>
  <c r="AA13" i="32"/>
  <c r="AB22" i="32"/>
  <c r="V32" i="32"/>
  <c r="V15" i="32"/>
  <c r="W24" i="32"/>
  <c r="Z6" i="32"/>
  <c r="W15" i="32"/>
  <c r="X24" i="32"/>
  <c r="AA6" i="32"/>
  <c r="X15" i="32"/>
  <c r="Y24" i="32"/>
  <c r="AB6" i="32"/>
  <c r="Z16" i="32"/>
  <c r="AA25" i="32"/>
  <c r="Z7" i="32"/>
  <c r="AA16" i="32"/>
  <c r="AB25" i="32"/>
  <c r="AB8" i="32"/>
  <c r="V18" i="32"/>
  <c r="W27" i="32"/>
  <c r="W10" i="32"/>
  <c r="X19" i="32"/>
  <c r="Y28" i="32"/>
  <c r="V6" i="32"/>
  <c r="AB14" i="32"/>
  <c r="V24" i="32"/>
  <c r="V7" i="32"/>
  <c r="W16" i="32"/>
  <c r="X25" i="32"/>
  <c r="W7" i="32"/>
  <c r="X16" i="32"/>
  <c r="Y25" i="32"/>
  <c r="X7" i="32"/>
  <c r="Y16" i="32"/>
  <c r="Z25" i="32"/>
  <c r="Z8" i="32"/>
  <c r="AA17" i="32"/>
  <c r="AB26" i="32"/>
  <c r="AA8" i="32"/>
  <c r="AB17" i="32"/>
  <c r="V27" i="32"/>
  <c r="V10" i="32"/>
  <c r="W19" i="32"/>
  <c r="X28" i="32"/>
  <c r="X11" i="32"/>
  <c r="Y20" i="32"/>
  <c r="Z29" i="32"/>
  <c r="V16" i="32"/>
  <c r="W25" i="32"/>
  <c r="W8" i="32"/>
  <c r="X17" i="32"/>
  <c r="Y26" i="32"/>
  <c r="X8" i="32"/>
  <c r="Y17" i="32"/>
  <c r="Z26" i="32"/>
  <c r="Y8" i="32"/>
  <c r="Z17" i="32"/>
  <c r="AA26" i="32"/>
  <c r="AA9" i="32"/>
  <c r="AB18" i="32"/>
  <c r="V28" i="32"/>
  <c r="AB9" i="32"/>
  <c r="V19" i="32"/>
  <c r="W28" i="32"/>
  <c r="W11" i="32"/>
  <c r="X20" i="32"/>
  <c r="Y29" i="32"/>
  <c r="Y12" i="32"/>
  <c r="Z21" i="32"/>
  <c r="AA30" i="32"/>
  <c r="V8" i="32"/>
  <c r="W17" i="32"/>
  <c r="X26" i="32"/>
  <c r="X9" i="32"/>
  <c r="Y18" i="32"/>
  <c r="Z27" i="32"/>
  <c r="Y9" i="32"/>
  <c r="Z18" i="32"/>
  <c r="AA27" i="32"/>
  <c r="Z9" i="32"/>
  <c r="AA18" i="32"/>
  <c r="AB27" i="32"/>
  <c r="AB10" i="32"/>
  <c r="V20" i="32"/>
  <c r="W29" i="32"/>
  <c r="V11" i="32"/>
  <c r="W20" i="32"/>
  <c r="X29" i="32"/>
  <c r="X12" i="32"/>
  <c r="Y21" i="32"/>
  <c r="Z30" i="32"/>
  <c r="Z13" i="32"/>
  <c r="AA22" i="32"/>
  <c r="AB31" i="32"/>
  <c r="X6" i="32"/>
  <c r="W9" i="32"/>
  <c r="X18" i="32"/>
  <c r="Y27" i="32"/>
  <c r="Y10" i="32"/>
  <c r="Z19" i="32"/>
  <c r="AA28" i="32"/>
  <c r="Z10" i="32"/>
  <c r="AA19" i="32"/>
  <c r="AB28" i="32"/>
  <c r="AA10" i="32"/>
  <c r="AB19" i="32"/>
  <c r="V29" i="32"/>
  <c r="V12" i="32"/>
  <c r="W21" i="32"/>
  <c r="X30" i="32"/>
  <c r="W12" i="32"/>
  <c r="X21" i="32"/>
  <c r="Y30" i="32"/>
  <c r="Y13" i="32"/>
  <c r="Z22" i="32"/>
  <c r="AA31" i="32"/>
  <c r="AA14" i="32"/>
  <c r="AB23" i="32"/>
  <c r="W6" i="32"/>
  <c r="X10" i="32"/>
  <c r="Y19" i="32"/>
  <c r="Z28" i="32"/>
  <c r="Z11" i="32"/>
  <c r="AA20" i="32"/>
  <c r="AB29" i="32"/>
  <c r="AA11" i="32"/>
  <c r="AB20" i="32"/>
  <c r="V30" i="32"/>
  <c r="AB11" i="32"/>
  <c r="V21" i="32"/>
  <c r="W30" i="32"/>
  <c r="W13" i="32"/>
  <c r="X22" i="32"/>
  <c r="Y31" i="32"/>
  <c r="X13" i="32"/>
  <c r="Y22" i="32"/>
  <c r="Z31" i="32"/>
  <c r="Z14" i="32"/>
  <c r="AA23" i="32"/>
  <c r="AB32" i="32"/>
  <c r="AB15" i="32"/>
  <c r="V25" i="32"/>
  <c r="Z12" i="32"/>
  <c r="AA21" i="32"/>
  <c r="AB30" i="32"/>
  <c r="AB13" i="32"/>
  <c r="V23" i="32"/>
  <c r="W32" i="32"/>
  <c r="V14" i="32"/>
  <c r="W23" i="32"/>
  <c r="X32" i="32"/>
  <c r="W14" i="32"/>
  <c r="X23" i="32"/>
  <c r="Y32" i="32"/>
  <c r="Y15" i="32"/>
  <c r="Z24" i="32"/>
  <c r="Y7" i="32"/>
  <c r="Z15" i="32"/>
  <c r="AA24" i="32"/>
  <c r="AA7" i="32"/>
  <c r="AB16" i="32"/>
  <c r="V26" i="32"/>
  <c r="V9" i="32"/>
  <c r="W18" i="32"/>
  <c r="X27" i="32"/>
  <c r="W26" i="32"/>
  <c r="Z32" i="32"/>
  <c r="AB12" i="32"/>
  <c r="Y6" i="32"/>
  <c r="BS62" i="7"/>
  <c r="I96" i="7"/>
  <c r="BO58" i="7"/>
  <c r="E92" i="7"/>
  <c r="G86" i="7"/>
  <c r="BQ52" i="7"/>
  <c r="V17" i="32"/>
  <c r="Y23" i="32"/>
  <c r="V31" i="32"/>
  <c r="I93" i="7"/>
  <c r="BS59" i="7"/>
  <c r="AY93" i="7"/>
  <c r="BR46" i="7"/>
  <c r="BI75" i="7"/>
  <c r="AY75" i="7"/>
  <c r="AY87" i="7"/>
  <c r="AV86" i="7"/>
  <c r="AV90" i="7"/>
  <c r="AV98" i="7"/>
  <c r="AW76" i="7"/>
  <c r="AB7" i="32"/>
  <c r="X14" i="32"/>
  <c r="AB21" i="32"/>
  <c r="J95" i="7"/>
  <c r="BT61" i="7"/>
  <c r="AP95" i="7"/>
  <c r="AB24" i="32"/>
  <c r="X31" i="32"/>
  <c r="AA12" i="32"/>
  <c r="BO64" i="7"/>
  <c r="E98" i="7"/>
  <c r="BE88" i="7"/>
  <c r="AK88" i="7"/>
  <c r="BO53" i="7"/>
  <c r="E87" i="7"/>
  <c r="BS51" i="7"/>
  <c r="I85" i="7"/>
  <c r="BI77" i="7"/>
  <c r="AO77" i="7"/>
  <c r="AY77" i="7"/>
  <c r="AW89" i="7"/>
  <c r="BS42" i="7"/>
  <c r="BI76" i="7"/>
  <c r="BO38" i="7"/>
  <c r="BP59" i="7"/>
  <c r="BS47" i="7"/>
  <c r="BQ39" i="7"/>
  <c r="AW73" i="7"/>
  <c r="BP47" i="7"/>
  <c r="BR45" i="7"/>
  <c r="BP40" i="7"/>
  <c r="BO39" i="7"/>
  <c r="AK73" i="7"/>
  <c r="AF17" i="32"/>
  <c r="AQ17" i="32"/>
  <c r="BS49" i="7"/>
  <c r="BQ46" i="7"/>
  <c r="BO44" i="7"/>
  <c r="BO42" i="7"/>
  <c r="BQ38" i="7"/>
  <c r="BQ48" i="7"/>
  <c r="AW82" i="7"/>
  <c r="BO47" i="7"/>
  <c r="BO43" i="7"/>
  <c r="AV80" i="7"/>
  <c r="AY95" i="7"/>
  <c r="BI95" i="7"/>
  <c r="AO95" i="7"/>
  <c r="BO50" i="7"/>
  <c r="E84" i="7"/>
  <c r="BQ56" i="7"/>
  <c r="G90" i="7"/>
  <c r="J83" i="7"/>
  <c r="BF90" i="7"/>
  <c r="AL90" i="7"/>
  <c r="E80" i="7"/>
  <c r="BO46" i="7"/>
  <c r="AY88" i="7"/>
  <c r="BI88" i="7"/>
  <c r="J75" i="7"/>
  <c r="AO88" i="7"/>
  <c r="BR63" i="7"/>
  <c r="H97" i="7"/>
  <c r="AY79" i="7"/>
  <c r="F80" i="7"/>
  <c r="BF80" i="7"/>
  <c r="BJ86" i="7"/>
  <c r="AP86" i="7"/>
  <c r="BJ78" i="7"/>
  <c r="BT59" i="7"/>
  <c r="AG23" i="32"/>
  <c r="AR23" i="32"/>
  <c r="AH22" i="32"/>
  <c r="AS22" i="32"/>
  <c r="AK16" i="32"/>
  <c r="AV16" i="32"/>
  <c r="BS48" i="7"/>
  <c r="I95" i="7"/>
  <c r="H88" i="7"/>
  <c r="BR54" i="7"/>
  <c r="AL80" i="7"/>
  <c r="AF18" i="32"/>
  <c r="AQ18" i="32"/>
  <c r="AF26" i="32"/>
  <c r="AQ26" i="32"/>
  <c r="AF20" i="32"/>
  <c r="AQ20" i="32"/>
  <c r="AF28" i="32"/>
  <c r="AQ28" i="32"/>
  <c r="AF14" i="32"/>
  <c r="AQ14" i="32"/>
  <c r="AF22" i="32"/>
  <c r="AQ22" i="32"/>
  <c r="AF30" i="32"/>
  <c r="AQ30" i="32"/>
  <c r="AF21" i="32"/>
  <c r="AQ21" i="32"/>
  <c r="AL20" i="32"/>
  <c r="AW20" i="32"/>
  <c r="AK20" i="32"/>
  <c r="AV20" i="32"/>
  <c r="AJ20" i="32"/>
  <c r="AU20" i="32"/>
  <c r="AG15" i="32"/>
  <c r="AR15" i="32"/>
  <c r="AI20" i="32"/>
  <c r="AT20" i="32"/>
  <c r="AH28" i="32"/>
  <c r="AS28" i="32"/>
  <c r="AH17" i="32"/>
  <c r="AS17" i="32"/>
  <c r="AG24" i="32"/>
  <c r="AR24" i="32"/>
  <c r="AL25" i="32"/>
  <c r="AW25" i="32"/>
  <c r="AK25" i="32"/>
  <c r="AV25" i="32"/>
  <c r="AJ25" i="32"/>
  <c r="AU25" i="32"/>
  <c r="AH15" i="32"/>
  <c r="AS15" i="32"/>
  <c r="AG25" i="32"/>
  <c r="AR25" i="32"/>
  <c r="AI28" i="32"/>
  <c r="AT28" i="32"/>
  <c r="AG18" i="32"/>
  <c r="AR18" i="32"/>
  <c r="AH13" i="32"/>
  <c r="AS13" i="32"/>
  <c r="AI23" i="32"/>
  <c r="AT23" i="32"/>
  <c r="AF11" i="32"/>
  <c r="AQ11" i="32"/>
  <c r="AF24" i="32"/>
  <c r="AQ24" i="32"/>
  <c r="AL26" i="32"/>
  <c r="AW26" i="32"/>
  <c r="AK26" i="32"/>
  <c r="AV26" i="32"/>
  <c r="AJ26" i="32"/>
  <c r="AU26" i="32"/>
  <c r="AI15" i="32"/>
  <c r="AT15" i="32"/>
  <c r="AH25" i="32"/>
  <c r="AS25" i="32"/>
  <c r="AG31" i="32"/>
  <c r="AR31" i="32"/>
  <c r="AG29" i="32"/>
  <c r="AR29" i="32"/>
  <c r="AI13" i="32"/>
  <c r="AT13" i="32"/>
  <c r="AK32" i="32"/>
  <c r="AV32" i="32"/>
  <c r="AF13" i="32"/>
  <c r="AQ13" i="32"/>
  <c r="AF25" i="32"/>
  <c r="AQ25" i="32"/>
  <c r="AL28" i="32"/>
  <c r="AW28" i="32"/>
  <c r="AK28" i="32"/>
  <c r="AV28" i="32"/>
  <c r="AJ28" i="32"/>
  <c r="AU28" i="32"/>
  <c r="AG16" i="32"/>
  <c r="AR16" i="32"/>
  <c r="AI25" i="32"/>
  <c r="AT25" i="32"/>
  <c r="AH31" i="32"/>
  <c r="AS31" i="32"/>
  <c r="AJ6" i="32"/>
  <c r="AJ21" i="32"/>
  <c r="AU21" i="32"/>
  <c r="AL18" i="32"/>
  <c r="AW18" i="32"/>
  <c r="AH7" i="32"/>
  <c r="AS7" i="32"/>
  <c r="AK8" i="32"/>
  <c r="AK9" i="32"/>
  <c r="AV9" i="32"/>
  <c r="AJ30" i="32"/>
  <c r="AU30" i="32"/>
  <c r="AF15" i="32"/>
  <c r="AQ15" i="32"/>
  <c r="AL31" i="32"/>
  <c r="AW31" i="32"/>
  <c r="AK31" i="32"/>
  <c r="AV31" i="32"/>
  <c r="AJ31" i="32"/>
  <c r="AU31" i="32"/>
  <c r="AH16" i="32"/>
  <c r="AS16" i="32"/>
  <c r="AG26" i="32"/>
  <c r="AR26" i="32"/>
  <c r="AI31" i="32"/>
  <c r="AT31" i="32"/>
  <c r="AF16" i="32"/>
  <c r="AQ16" i="32"/>
  <c r="AJ15" i="32"/>
  <c r="AU15" i="32"/>
  <c r="AH26" i="32"/>
  <c r="AS26" i="32"/>
  <c r="AI22" i="32"/>
  <c r="AT22" i="32"/>
  <c r="AI18" i="32"/>
  <c r="AT18" i="32"/>
  <c r="AJ7" i="32"/>
  <c r="AU7" i="32"/>
  <c r="AJ22" i="32"/>
  <c r="AU22" i="32"/>
  <c r="AG22" i="32"/>
  <c r="AR22" i="32"/>
  <c r="AL15" i="32"/>
  <c r="AW15" i="32"/>
  <c r="AG11" i="32"/>
  <c r="AR11" i="32"/>
  <c r="AG28" i="32"/>
  <c r="AR28" i="32"/>
  <c r="AL30" i="32"/>
  <c r="AW30" i="32"/>
  <c r="AL16" i="32"/>
  <c r="AW16" i="32"/>
  <c r="AH11" i="32"/>
  <c r="AS11" i="32"/>
  <c r="AL7" i="32"/>
  <c r="AW7" i="32"/>
  <c r="AG13" i="32"/>
  <c r="AR13" i="32"/>
  <c r="AF31" i="32"/>
  <c r="AQ31" i="32"/>
  <c r="AK11" i="32"/>
  <c r="AV11" i="32"/>
  <c r="AI11" i="32"/>
  <c r="AT11" i="32"/>
  <c r="AJ19" i="32"/>
  <c r="AU19" i="32"/>
  <c r="AF32" i="32"/>
  <c r="AQ32" i="32"/>
  <c r="AK15" i="32"/>
  <c r="AV15" i="32"/>
  <c r="AI16" i="32"/>
  <c r="AT16" i="32"/>
  <c r="AG32" i="32"/>
  <c r="AR32" i="32"/>
  <c r="BP44" i="7"/>
  <c r="F78" i="7"/>
  <c r="I88" i="7"/>
  <c r="BT45" i="7"/>
  <c r="J79" i="7"/>
  <c r="AI14" i="32"/>
  <c r="AT14" i="32"/>
  <c r="AI26" i="32"/>
  <c r="AT26" i="32"/>
  <c r="AX90" i="7"/>
  <c r="BQ45" i="7"/>
  <c r="G79" i="7"/>
  <c r="BR58" i="7"/>
  <c r="H92" i="7"/>
  <c r="BO48" i="7"/>
  <c r="F72" i="7"/>
  <c r="L33" i="32"/>
  <c r="BB33" i="32"/>
  <c r="M33" i="32"/>
  <c r="BC33" i="32"/>
  <c r="AA64" i="7"/>
  <c r="AK64" i="7"/>
  <c r="Y63" i="7"/>
  <c r="AI63" i="7"/>
  <c r="Z62" i="7"/>
  <c r="AJ62" i="7"/>
  <c r="AA58" i="7"/>
  <c r="AK58" i="7"/>
  <c r="AC56" i="7"/>
  <c r="AM56" i="7"/>
  <c r="Z54" i="7"/>
  <c r="AJ54" i="7"/>
  <c r="AA53" i="7"/>
  <c r="AK53" i="7"/>
  <c r="Z51" i="7"/>
  <c r="AJ51" i="7"/>
  <c r="AA50" i="7"/>
  <c r="AK50" i="7"/>
  <c r="AB49" i="7"/>
  <c r="AL49" i="7"/>
  <c r="Z48" i="7"/>
  <c r="AJ48" i="7"/>
  <c r="AA47" i="7"/>
  <c r="AK47" i="7"/>
  <c r="AA44" i="7"/>
  <c r="AK44" i="7"/>
  <c r="AB43" i="7"/>
  <c r="AL43" i="7"/>
  <c r="Z42" i="7"/>
  <c r="AJ42" i="7"/>
  <c r="AA41" i="7"/>
  <c r="AK41" i="7"/>
  <c r="Y40" i="7"/>
  <c r="Z39" i="7"/>
  <c r="AA63" i="7"/>
  <c r="AK63" i="7"/>
  <c r="AB62" i="7"/>
  <c r="AL62" i="7"/>
  <c r="Z61" i="7"/>
  <c r="AJ61" i="7"/>
  <c r="AB59" i="7"/>
  <c r="AL59" i="7"/>
  <c r="AC58" i="7"/>
  <c r="AM58" i="7"/>
  <c r="Y57" i="7"/>
  <c r="AI57" i="7"/>
  <c r="AB51" i="7"/>
  <c r="AL51" i="7"/>
  <c r="AC50" i="7"/>
  <c r="AM50" i="7"/>
  <c r="AB48" i="7"/>
  <c r="AL48" i="7"/>
  <c r="AC44" i="7"/>
  <c r="AM44" i="7"/>
  <c r="AB42" i="7"/>
  <c r="AL42" i="7"/>
  <c r="AA40" i="7"/>
  <c r="AB39" i="7"/>
  <c r="AL39" i="7"/>
  <c r="AD47" i="7"/>
  <c r="AB64" i="7"/>
  <c r="AL64" i="7"/>
  <c r="AC63" i="7"/>
  <c r="AM63" i="7"/>
  <c r="AB61" i="7"/>
  <c r="AL61" i="7"/>
  <c r="AC60" i="7"/>
  <c r="AM60" i="7"/>
  <c r="Y59" i="7"/>
  <c r="AI59" i="7"/>
  <c r="AA57" i="7"/>
  <c r="AK57" i="7"/>
  <c r="Y56" i="7"/>
  <c r="AI56" i="7"/>
  <c r="Z55" i="7"/>
  <c r="AJ55" i="7"/>
  <c r="AB53" i="7"/>
  <c r="AL53" i="7"/>
  <c r="AC52" i="7"/>
  <c r="AM52" i="7"/>
  <c r="AB47" i="7"/>
  <c r="AL47" i="7"/>
  <c r="AC46" i="7"/>
  <c r="AM46" i="7"/>
  <c r="Y45" i="7"/>
  <c r="AI45" i="7"/>
  <c r="AB41" i="7"/>
  <c r="AL41" i="7"/>
  <c r="AC40" i="7"/>
  <c r="AB38" i="7"/>
  <c r="G48" i="5"/>
  <c r="C39" i="5"/>
  <c r="G47" i="5"/>
  <c r="BT48" i="7"/>
  <c r="AZ82" i="7"/>
  <c r="AV92" i="7"/>
  <c r="BF92" i="7"/>
  <c r="AL84" i="7"/>
  <c r="AV84" i="7"/>
  <c r="BG96" i="7"/>
  <c r="AH8" i="7"/>
  <c r="AU12" i="7"/>
  <c r="F83" i="7"/>
  <c r="AJ27" i="32"/>
  <c r="AU27" i="32"/>
  <c r="AI17" i="32"/>
  <c r="AT17" i="32"/>
  <c r="AH9" i="32"/>
  <c r="AS9" i="32"/>
  <c r="AI12" i="32"/>
  <c r="AT12" i="32"/>
  <c r="AL8" i="32"/>
  <c r="AW8" i="32"/>
  <c r="AJ18" i="32"/>
  <c r="AU18" i="32"/>
  <c r="AL9" i="32"/>
  <c r="AW9" i="32"/>
  <c r="AI24" i="32"/>
  <c r="AT24" i="32"/>
  <c r="BG83" i="7"/>
  <c r="AF19" i="32"/>
  <c r="AQ19" i="32"/>
  <c r="AJ13" i="32"/>
  <c r="AU13" i="32"/>
  <c r="AI27" i="32"/>
  <c r="AT27" i="32"/>
  <c r="E75" i="7"/>
  <c r="AL22" i="32"/>
  <c r="AW22" i="32"/>
  <c r="AG9" i="32"/>
  <c r="AR9" i="32"/>
  <c r="AO79" i="7"/>
  <c r="AP89" i="7"/>
  <c r="BH94" i="7"/>
  <c r="AH23" i="32"/>
  <c r="AS23" i="32"/>
  <c r="AF27" i="32"/>
  <c r="AQ27" i="32"/>
  <c r="AL17" i="32"/>
  <c r="AW17" i="32"/>
  <c r="BT54" i="7"/>
  <c r="AL32" i="32"/>
  <c r="AW32" i="32"/>
  <c r="AL6" i="32"/>
  <c r="AW6" i="32"/>
  <c r="AC57" i="32"/>
  <c r="BJ72" i="7"/>
  <c r="AJ9" i="32"/>
  <c r="AU9" i="32"/>
  <c r="AK13" i="32"/>
  <c r="AV13" i="32"/>
  <c r="AF6" i="32"/>
  <c r="AQ6" i="32"/>
  <c r="BP41" i="7"/>
  <c r="BF75" i="7"/>
  <c r="O4" i="7"/>
  <c r="AJ14" i="32"/>
  <c r="AU14" i="32"/>
  <c r="AJ24" i="32"/>
  <c r="AU24" i="32"/>
  <c r="AJ17" i="32"/>
  <c r="AU17" i="32"/>
  <c r="AG6" i="32"/>
  <c r="AR6" i="32"/>
  <c r="AG19" i="32"/>
  <c r="AR19" i="32"/>
  <c r="BP43" i="7"/>
  <c r="AV77" i="7"/>
  <c r="AL19" i="32"/>
  <c r="AW19" i="32"/>
  <c r="AJ4" i="7"/>
  <c r="AL4" i="7"/>
  <c r="AI4" i="7"/>
  <c r="AU15" i="7"/>
  <c r="AU14" i="7"/>
  <c r="AU10" i="7"/>
  <c r="AU16" i="7"/>
  <c r="AC18" i="32"/>
  <c r="AC58" i="32"/>
  <c r="AF10" i="32"/>
  <c r="AQ10" i="32"/>
  <c r="AK86" i="7"/>
  <c r="BE73" i="7"/>
  <c r="H89" i="7"/>
  <c r="AL14" i="32"/>
  <c r="AW14" i="32"/>
  <c r="BJ95" i="7"/>
  <c r="AC63" i="32"/>
  <c r="AL29" i="32"/>
  <c r="AW29" i="32"/>
  <c r="AK29" i="32"/>
  <c r="AV29" i="32"/>
  <c r="AZ89" i="7"/>
  <c r="AK19" i="32"/>
  <c r="AV19" i="32"/>
  <c r="AL27" i="32"/>
  <c r="AW27" i="32"/>
  <c r="AN86" i="7"/>
  <c r="BT40" i="7"/>
  <c r="AP74" i="7"/>
  <c r="AM96" i="7"/>
  <c r="AY72" i="7"/>
  <c r="AO72" i="7"/>
  <c r="BI72" i="7"/>
  <c r="AW83" i="7"/>
  <c r="AF29" i="32"/>
  <c r="AQ29" i="32"/>
  <c r="AK24" i="32"/>
  <c r="AV24" i="32"/>
  <c r="AI21" i="32"/>
  <c r="AT21" i="32"/>
  <c r="AG12" i="32"/>
  <c r="AR12" i="32"/>
  <c r="BE86" i="7"/>
  <c r="J77" i="7"/>
  <c r="AX94" i="7"/>
  <c r="AC61" i="32"/>
  <c r="AK27" i="32"/>
  <c r="AV27" i="32"/>
  <c r="AG27" i="32"/>
  <c r="AR27" i="32"/>
  <c r="AJ29" i="32"/>
  <c r="AU29" i="32"/>
  <c r="AJ10" i="32"/>
  <c r="AU10" i="32"/>
  <c r="AH14" i="32"/>
  <c r="AS14" i="32"/>
  <c r="AL24" i="32"/>
  <c r="AW24" i="32"/>
  <c r="BT50" i="7"/>
  <c r="AG10" i="32"/>
  <c r="AR10" i="32"/>
  <c r="AK21" i="32"/>
  <c r="AV21" i="32"/>
  <c r="AG7" i="32"/>
  <c r="AR7" i="32"/>
  <c r="AI9" i="32"/>
  <c r="AT9" i="32"/>
  <c r="AH8" i="32"/>
  <c r="AS8" i="32"/>
  <c r="AL12" i="32"/>
  <c r="AW12" i="32"/>
  <c r="AK18" i="32"/>
  <c r="AV18" i="32"/>
  <c r="BT56" i="7"/>
  <c r="AP72" i="7"/>
  <c r="AU94" i="7"/>
  <c r="AL10" i="32"/>
  <c r="AW10" i="32"/>
  <c r="J89" i="7"/>
  <c r="AK10" i="32"/>
  <c r="AV10" i="32"/>
  <c r="AK12" i="32"/>
  <c r="AV12" i="32"/>
  <c r="AG14" i="32"/>
  <c r="AR14" i="32"/>
  <c r="AI10" i="32"/>
  <c r="AT10" i="32"/>
  <c r="AG21" i="32"/>
  <c r="AR21" i="32"/>
  <c r="BE96" i="7"/>
  <c r="BH84" i="7"/>
  <c r="AK94" i="7"/>
  <c r="AF7" i="32"/>
  <c r="AQ7" i="32"/>
  <c r="AC64" i="32"/>
  <c r="AH30" i="32"/>
  <c r="AS30" i="32"/>
  <c r="AJ23" i="32"/>
  <c r="AU23" i="32"/>
  <c r="AK7" i="32"/>
  <c r="AV7" i="32"/>
  <c r="AN90" i="7"/>
  <c r="AI8" i="32"/>
  <c r="AT8" i="32"/>
  <c r="AH29" i="32"/>
  <c r="AS29" i="32"/>
  <c r="AI19" i="32"/>
  <c r="AT19" i="32"/>
  <c r="AF8" i="32"/>
  <c r="AQ8" i="32"/>
  <c r="AH19" i="32"/>
  <c r="AS19" i="32"/>
  <c r="AY76" i="7"/>
  <c r="BH86" i="7"/>
  <c r="J72" i="7"/>
  <c r="AN84" i="7"/>
  <c r="AC52" i="32"/>
  <c r="AC55" i="32"/>
  <c r="AJ32" i="32"/>
  <c r="AU32" i="32"/>
  <c r="AC27" i="32"/>
  <c r="AC9" i="32"/>
  <c r="AC28" i="32"/>
  <c r="AC10" i="32"/>
  <c r="AC16" i="32"/>
  <c r="AC20" i="32"/>
  <c r="AC6" i="32"/>
  <c r="BJ85" i="7"/>
  <c r="AP85" i="7"/>
  <c r="AZ85" i="7"/>
  <c r="BS64" i="7"/>
  <c r="I98" i="7"/>
  <c r="AP94" i="7"/>
  <c r="BJ94" i="7"/>
  <c r="F97" i="7"/>
  <c r="AZ94" i="7"/>
  <c r="AC23" i="32"/>
  <c r="AM88" i="7"/>
  <c r="BG88" i="7"/>
  <c r="BI91" i="7"/>
  <c r="AO91" i="7"/>
  <c r="AN91" i="7"/>
  <c r="BH91" i="7"/>
  <c r="BO49" i="7"/>
  <c r="E83" i="7"/>
  <c r="BT62" i="7"/>
  <c r="J96" i="7"/>
  <c r="BJ83" i="7"/>
  <c r="J85" i="7"/>
  <c r="BG77" i="7"/>
  <c r="AW77" i="7"/>
  <c r="AM77" i="7"/>
  <c r="BI89" i="7"/>
  <c r="AO89" i="7"/>
  <c r="AY89" i="7"/>
  <c r="J73" i="7"/>
  <c r="BT39" i="7"/>
  <c r="J80" i="7"/>
  <c r="BT46" i="7"/>
  <c r="AP83" i="7"/>
  <c r="BR44" i="7"/>
  <c r="AN78" i="7"/>
  <c r="BS39" i="7"/>
  <c r="AU89" i="7"/>
  <c r="J97" i="7"/>
  <c r="BT63" i="7"/>
  <c r="J87" i="7"/>
  <c r="BT53" i="7"/>
  <c r="BP45" i="7"/>
  <c r="F79" i="7"/>
  <c r="AU96" i="7"/>
  <c r="AK89" i="7"/>
  <c r="AW93" i="7"/>
  <c r="AM93" i="7"/>
  <c r="BG93" i="7"/>
  <c r="BG89" i="7"/>
  <c r="AM89" i="7"/>
  <c r="BF98" i="7"/>
  <c r="AL98" i="7"/>
  <c r="J91" i="7"/>
  <c r="BT57" i="7"/>
  <c r="J98" i="7"/>
  <c r="BT64" i="7"/>
  <c r="F91" i="7"/>
  <c r="BP57" i="7"/>
  <c r="BG94" i="7"/>
  <c r="AM94" i="7"/>
  <c r="BT58" i="7"/>
  <c r="J92" i="7"/>
  <c r="AU73" i="7"/>
  <c r="AW94" i="7"/>
  <c r="BO61" i="7"/>
  <c r="E95" i="7"/>
  <c r="F87" i="7"/>
  <c r="BP53" i="7"/>
  <c r="G85" i="7"/>
  <c r="BQ51" i="7"/>
  <c r="AL86" i="7"/>
  <c r="BF86" i="7"/>
  <c r="AC29" i="32"/>
  <c r="AA33" i="32"/>
  <c r="AC19" i="32"/>
  <c r="AC32" i="32"/>
  <c r="W33" i="32"/>
  <c r="AC15" i="32"/>
  <c r="BF74" i="7"/>
  <c r="AL74" i="7"/>
  <c r="AV74" i="7"/>
  <c r="AK72" i="7"/>
  <c r="BE72" i="7"/>
  <c r="AU72" i="7"/>
  <c r="AX89" i="7"/>
  <c r="BH89" i="7"/>
  <c r="AN89" i="7"/>
  <c r="AY85" i="7"/>
  <c r="BI85" i="7"/>
  <c r="AO85" i="7"/>
  <c r="BF83" i="7"/>
  <c r="AL83" i="7"/>
  <c r="AV83" i="7"/>
  <c r="AO76" i="7"/>
  <c r="AK81" i="7"/>
  <c r="BE81" i="7"/>
  <c r="AU81" i="7"/>
  <c r="BE78" i="7"/>
  <c r="AU78" i="7"/>
  <c r="AK78" i="7"/>
  <c r="AN80" i="7"/>
  <c r="AX80" i="7"/>
  <c r="BH80" i="7"/>
  <c r="BE92" i="7"/>
  <c r="AK92" i="7"/>
  <c r="AU92" i="7"/>
  <c r="AC13" i="32"/>
  <c r="AX74" i="7"/>
  <c r="AN74" i="7"/>
  <c r="BH74" i="7"/>
  <c r="AW80" i="7"/>
  <c r="AM80" i="7"/>
  <c r="BG80" i="7"/>
  <c r="AK87" i="7"/>
  <c r="AU87" i="7"/>
  <c r="BE87" i="7"/>
  <c r="V33" i="32"/>
  <c r="AC7" i="32"/>
  <c r="BH79" i="7"/>
  <c r="AN79" i="7"/>
  <c r="AX79" i="7"/>
  <c r="BI81" i="7"/>
  <c r="AY81" i="7"/>
  <c r="BE98" i="7"/>
  <c r="AK98" i="7"/>
  <c r="AU98" i="7"/>
  <c r="AC31" i="32"/>
  <c r="AC12" i="32"/>
  <c r="AC26" i="32"/>
  <c r="AC14" i="32"/>
  <c r="BG95" i="7"/>
  <c r="AW95" i="7"/>
  <c r="AM95" i="7"/>
  <c r="AZ74" i="7"/>
  <c r="AM72" i="7"/>
  <c r="BG72" i="7"/>
  <c r="AW72" i="7"/>
  <c r="BF81" i="7"/>
  <c r="AV81" i="7"/>
  <c r="AL81" i="7"/>
  <c r="AZ77" i="7"/>
  <c r="AP77" i="7"/>
  <c r="Z33" i="32"/>
  <c r="AC17" i="32"/>
  <c r="AU85" i="7"/>
  <c r="BE85" i="7"/>
  <c r="AK85" i="7"/>
  <c r="BE75" i="7"/>
  <c r="AK75" i="7"/>
  <c r="AU75" i="7"/>
  <c r="AB33" i="32"/>
  <c r="AC21" i="32"/>
  <c r="AC24" i="32"/>
  <c r="AC22" i="32"/>
  <c r="BG73" i="7"/>
  <c r="AM82" i="7"/>
  <c r="AM73" i="7"/>
  <c r="BG82" i="7"/>
  <c r="BI93" i="7"/>
  <c r="BF93" i="7"/>
  <c r="AV93" i="7"/>
  <c r="AL93" i="7"/>
  <c r="BG86" i="7"/>
  <c r="AM86" i="7"/>
  <c r="AW86" i="7"/>
  <c r="BI96" i="7"/>
  <c r="AO96" i="7"/>
  <c r="AY96" i="7"/>
  <c r="X33" i="32"/>
  <c r="AC8" i="32"/>
  <c r="AZ76" i="7"/>
  <c r="AP76" i="7"/>
  <c r="AC30" i="32"/>
  <c r="AL94" i="7"/>
  <c r="AV94" i="7"/>
  <c r="BF94" i="7"/>
  <c r="AY83" i="7"/>
  <c r="AO83" i="7"/>
  <c r="BI83" i="7"/>
  <c r="BI73" i="7"/>
  <c r="AO73" i="7"/>
  <c r="AY73" i="7"/>
  <c r="AZ95" i="7"/>
  <c r="AO93" i="7"/>
  <c r="AO81" i="7"/>
  <c r="BE77" i="7"/>
  <c r="AU77" i="7"/>
  <c r="AK77" i="7"/>
  <c r="AK76" i="7"/>
  <c r="AU76" i="7"/>
  <c r="BE76" i="7"/>
  <c r="AC25" i="32"/>
  <c r="AC11" i="32"/>
  <c r="Y33" i="32"/>
  <c r="AP82" i="7"/>
  <c r="BJ82" i="7"/>
  <c r="BR39" i="7"/>
  <c r="H73" i="7"/>
  <c r="BO57" i="7"/>
  <c r="E91" i="7"/>
  <c r="G92" i="7"/>
  <c r="BQ58" i="7"/>
  <c r="BR53" i="7"/>
  <c r="H87" i="7"/>
  <c r="BP48" i="7"/>
  <c r="F82" i="7"/>
  <c r="BF78" i="7"/>
  <c r="AV78" i="7"/>
  <c r="AL78" i="7"/>
  <c r="BO45" i="7"/>
  <c r="E79" i="7"/>
  <c r="BR59" i="7"/>
  <c r="H93" i="7"/>
  <c r="BP62" i="7"/>
  <c r="F96" i="7"/>
  <c r="BS44" i="7"/>
  <c r="I78" i="7"/>
  <c r="BQ50" i="7"/>
  <c r="G84" i="7"/>
  <c r="E97" i="7"/>
  <c r="BO63" i="7"/>
  <c r="AL72" i="7"/>
  <c r="BF72" i="7"/>
  <c r="AV72" i="7"/>
  <c r="AK82" i="7"/>
  <c r="AU82" i="7"/>
  <c r="BE82" i="7"/>
  <c r="AX88" i="7"/>
  <c r="BH88" i="7"/>
  <c r="AN88" i="7"/>
  <c r="BS46" i="7"/>
  <c r="I80" i="7"/>
  <c r="BQ57" i="7"/>
  <c r="G91" i="7"/>
  <c r="AN47" i="7"/>
  <c r="AD65" i="7"/>
  <c r="BR48" i="7"/>
  <c r="H82" i="7"/>
  <c r="BR62" i="7"/>
  <c r="H96" i="7"/>
  <c r="BQ41" i="7"/>
  <c r="G75" i="7"/>
  <c r="F85" i="7"/>
  <c r="BP51" i="7"/>
  <c r="G98" i="7"/>
  <c r="BQ64" i="7"/>
  <c r="BJ79" i="7"/>
  <c r="AP79" i="7"/>
  <c r="AZ79" i="7"/>
  <c r="AV8" i="32"/>
  <c r="AU6" i="32"/>
  <c r="BR41" i="7"/>
  <c r="H75" i="7"/>
  <c r="AU84" i="7"/>
  <c r="BE84" i="7"/>
  <c r="AK84" i="7"/>
  <c r="BP55" i="7"/>
  <c r="F89" i="7"/>
  <c r="AJ39" i="7"/>
  <c r="Z65" i="7"/>
  <c r="AJ65" i="7"/>
  <c r="BO59" i="7"/>
  <c r="E93" i="7"/>
  <c r="BP42" i="7"/>
  <c r="F76" i="7"/>
  <c r="BR61" i="7"/>
  <c r="H95" i="7"/>
  <c r="BS63" i="7"/>
  <c r="I97" i="7"/>
  <c r="BS58" i="7"/>
  <c r="I92" i="7"/>
  <c r="BR42" i="7"/>
  <c r="H76" i="7"/>
  <c r="AP75" i="7"/>
  <c r="BJ75" i="7"/>
  <c r="AZ75" i="7"/>
  <c r="BP61" i="7"/>
  <c r="F95" i="7"/>
  <c r="BQ63" i="7"/>
  <c r="G97" i="7"/>
  <c r="AZ93" i="7"/>
  <c r="BJ93" i="7"/>
  <c r="AP93" i="7"/>
  <c r="AK80" i="7"/>
  <c r="AU80" i="7"/>
  <c r="BE80" i="7"/>
  <c r="AL38" i="7"/>
  <c r="AB65" i="7"/>
  <c r="AL65" i="7"/>
  <c r="BR51" i="7"/>
  <c r="H85" i="7"/>
  <c r="H77" i="7"/>
  <c r="BR43" i="7"/>
  <c r="BP54" i="7"/>
  <c r="F88" i="7"/>
  <c r="AO82" i="7"/>
  <c r="AY82" i="7"/>
  <c r="BI82" i="7"/>
  <c r="AM90" i="7"/>
  <c r="AW90" i="7"/>
  <c r="BG90" i="7"/>
  <c r="BS52" i="7"/>
  <c r="I86" i="7"/>
  <c r="G81" i="7"/>
  <c r="BQ47" i="7"/>
  <c r="AK40" i="7"/>
  <c r="AA65" i="7"/>
  <c r="AK65" i="7"/>
  <c r="BR64" i="7"/>
  <c r="H98" i="7"/>
  <c r="BR49" i="7"/>
  <c r="H83" i="7"/>
  <c r="BO56" i="7"/>
  <c r="E90" i="7"/>
  <c r="Y65" i="7"/>
  <c r="AI65" i="7"/>
  <c r="AI40" i="7"/>
  <c r="BR47" i="7"/>
  <c r="H81" i="7"/>
  <c r="BS50" i="7"/>
  <c r="I84" i="7"/>
  <c r="G87" i="7"/>
  <c r="BQ53" i="7"/>
  <c r="AN92" i="7"/>
  <c r="BH92" i="7"/>
  <c r="AX92" i="7"/>
  <c r="AW79" i="7"/>
  <c r="AM79" i="7"/>
  <c r="BG79" i="7"/>
  <c r="AP84" i="7"/>
  <c r="BJ84" i="7"/>
  <c r="AZ84" i="7"/>
  <c r="AM40" i="7"/>
  <c r="AC65" i="7"/>
  <c r="AM65" i="7"/>
  <c r="BS60" i="7"/>
  <c r="I94" i="7"/>
  <c r="BQ44" i="7"/>
  <c r="G78" i="7"/>
  <c r="BS56" i="7"/>
  <c r="I90" i="7"/>
  <c r="AL97" i="7"/>
  <c r="AV97" i="7"/>
  <c r="BF97" i="7"/>
  <c r="AN97" i="7"/>
  <c r="BH97" i="7"/>
  <c r="AX97" i="7"/>
  <c r="AV10" i="7"/>
  <c r="AV15" i="7"/>
  <c r="AV16" i="7"/>
  <c r="AV14" i="7"/>
  <c r="AV13" i="7"/>
  <c r="AV12" i="7"/>
  <c r="AG33" i="32"/>
  <c r="AR33" i="32"/>
  <c r="AV75" i="7"/>
  <c r="AL75" i="7"/>
  <c r="BJ88" i="7"/>
  <c r="AZ88" i="7"/>
  <c r="AP88" i="7"/>
  <c r="AF33" i="32"/>
  <c r="AQ33" i="32"/>
  <c r="AL77" i="7"/>
  <c r="BF77" i="7"/>
  <c r="AL33" i="32"/>
  <c r="AW33" i="32"/>
  <c r="AP4" i="7"/>
  <c r="AJ33" i="32"/>
  <c r="AU33" i="32"/>
  <c r="AI33" i="32"/>
  <c r="AT33" i="32"/>
  <c r="BJ74" i="7"/>
  <c r="AZ90" i="7"/>
  <c r="BJ90" i="7"/>
  <c r="AP90" i="7"/>
  <c r="AX78" i="7"/>
  <c r="BH78" i="7"/>
  <c r="AK33" i="32"/>
  <c r="AV33" i="32"/>
  <c r="AH33" i="32"/>
  <c r="AS33" i="32"/>
  <c r="AP98" i="7"/>
  <c r="AZ98" i="7"/>
  <c r="BJ98" i="7"/>
  <c r="BG85" i="7"/>
  <c r="AM85" i="7"/>
  <c r="AW85" i="7"/>
  <c r="AL79" i="7"/>
  <c r="AV79" i="7"/>
  <c r="BF79" i="7"/>
  <c r="AZ91" i="7"/>
  <c r="AP91" i="7"/>
  <c r="BJ91" i="7"/>
  <c r="AP87" i="7"/>
  <c r="BJ87" i="7"/>
  <c r="AZ87" i="7"/>
  <c r="BJ80" i="7"/>
  <c r="AZ80" i="7"/>
  <c r="AP80" i="7"/>
  <c r="BF87" i="7"/>
  <c r="AV87" i="7"/>
  <c r="AL87" i="7"/>
  <c r="BJ92" i="7"/>
  <c r="AP92" i="7"/>
  <c r="AZ92" i="7"/>
  <c r="AO98" i="7"/>
  <c r="BI98" i="7"/>
  <c r="AY98" i="7"/>
  <c r="BJ73" i="7"/>
  <c r="AP73" i="7"/>
  <c r="AZ73" i="7"/>
  <c r="AZ96" i="7"/>
  <c r="AP96" i="7"/>
  <c r="BJ96" i="7"/>
  <c r="AK95" i="7"/>
  <c r="BE95" i="7"/>
  <c r="AU95" i="7"/>
  <c r="AL91" i="7"/>
  <c r="BF91" i="7"/>
  <c r="AV91" i="7"/>
  <c r="BJ97" i="7"/>
  <c r="AP97" i="7"/>
  <c r="AZ97" i="7"/>
  <c r="BE83" i="7"/>
  <c r="AK83" i="7"/>
  <c r="AU83" i="7"/>
  <c r="AC33" i="32"/>
  <c r="AO92" i="7"/>
  <c r="AY92" i="7"/>
  <c r="BI92" i="7"/>
  <c r="AM87" i="7"/>
  <c r="BG87" i="7"/>
  <c r="AW87" i="7"/>
  <c r="AU93" i="7"/>
  <c r="BE93" i="7"/>
  <c r="AK93" i="7"/>
  <c r="AL96" i="7"/>
  <c r="AV96" i="7"/>
  <c r="BF96" i="7"/>
  <c r="AW78" i="7"/>
  <c r="BG78" i="7"/>
  <c r="AM78" i="7"/>
  <c r="G99" i="7"/>
  <c r="BQ65" i="7"/>
  <c r="AO86" i="7"/>
  <c r="BI86" i="7"/>
  <c r="AY86" i="7"/>
  <c r="BF95" i="7"/>
  <c r="AL95" i="7"/>
  <c r="AV95" i="7"/>
  <c r="AO97" i="7"/>
  <c r="BI97" i="7"/>
  <c r="AY97" i="7"/>
  <c r="AL89" i="7"/>
  <c r="BF89" i="7"/>
  <c r="AV89" i="7"/>
  <c r="AW75" i="7"/>
  <c r="AM75" i="7"/>
  <c r="BG75" i="7"/>
  <c r="AM91" i="7"/>
  <c r="BG91" i="7"/>
  <c r="AW91" i="7"/>
  <c r="AM84" i="7"/>
  <c r="BG84" i="7"/>
  <c r="AW84" i="7"/>
  <c r="BG92" i="7"/>
  <c r="AM92" i="7"/>
  <c r="AW92" i="7"/>
  <c r="E74" i="7"/>
  <c r="BO40" i="7"/>
  <c r="BQ40" i="7"/>
  <c r="G74" i="7"/>
  <c r="AX75" i="7"/>
  <c r="AN75" i="7"/>
  <c r="BH75" i="7"/>
  <c r="BH93" i="7"/>
  <c r="AX93" i="7"/>
  <c r="AN93" i="7"/>
  <c r="BI90" i="7"/>
  <c r="AY90" i="7"/>
  <c r="AO90" i="7"/>
  <c r="BS40" i="7"/>
  <c r="I74" i="7"/>
  <c r="AU90" i="7"/>
  <c r="BE90" i="7"/>
  <c r="AK90" i="7"/>
  <c r="AX81" i="7"/>
  <c r="BH81" i="7"/>
  <c r="AN81" i="7"/>
  <c r="AN98" i="7"/>
  <c r="BH98" i="7"/>
  <c r="AX98" i="7"/>
  <c r="BI94" i="7"/>
  <c r="AO94" i="7"/>
  <c r="AY94" i="7"/>
  <c r="BI84" i="7"/>
  <c r="AY84" i="7"/>
  <c r="AO84" i="7"/>
  <c r="BO65" i="7"/>
  <c r="E99" i="7"/>
  <c r="AN85" i="7"/>
  <c r="BH85" i="7"/>
  <c r="AX85" i="7"/>
  <c r="H99" i="7"/>
  <c r="BR65" i="7"/>
  <c r="AM97" i="7"/>
  <c r="AW97" i="7"/>
  <c r="BG97" i="7"/>
  <c r="AX96" i="7"/>
  <c r="BH96" i="7"/>
  <c r="AN96" i="7"/>
  <c r="AY80" i="7"/>
  <c r="AO80" i="7"/>
  <c r="BI80" i="7"/>
  <c r="AY78" i="7"/>
  <c r="AO78" i="7"/>
  <c r="BI78" i="7"/>
  <c r="BF82" i="7"/>
  <c r="AV82" i="7"/>
  <c r="AL82" i="7"/>
  <c r="F73" i="7"/>
  <c r="BP39" i="7"/>
  <c r="AL88" i="7"/>
  <c r="AV88" i="7"/>
  <c r="BF88" i="7"/>
  <c r="AX95" i="7"/>
  <c r="BH95" i="7"/>
  <c r="AN95" i="7"/>
  <c r="AK79" i="7"/>
  <c r="AU79" i="7"/>
  <c r="BE79" i="7"/>
  <c r="AK91" i="7"/>
  <c r="BE91" i="7"/>
  <c r="AU91" i="7"/>
  <c r="AN76" i="7"/>
  <c r="AX76" i="7"/>
  <c r="BH76" i="7"/>
  <c r="J81" i="7"/>
  <c r="BT47" i="7"/>
  <c r="AN65" i="7"/>
  <c r="BR38" i="7"/>
  <c r="H72" i="7"/>
  <c r="AM98" i="7"/>
  <c r="BG98" i="7"/>
  <c r="AW98" i="7"/>
  <c r="AN77" i="7"/>
  <c r="BH77" i="7"/>
  <c r="AX77" i="7"/>
  <c r="AX82" i="7"/>
  <c r="BH82" i="7"/>
  <c r="AN82" i="7"/>
  <c r="BH87" i="7"/>
  <c r="AX87" i="7"/>
  <c r="AN87" i="7"/>
  <c r="BS65" i="7"/>
  <c r="I99" i="7"/>
  <c r="AN83" i="7"/>
  <c r="AX83" i="7"/>
  <c r="BH83" i="7"/>
  <c r="AW81" i="7"/>
  <c r="BG81" i="7"/>
  <c r="AM81" i="7"/>
  <c r="BF76" i="7"/>
  <c r="AV76" i="7"/>
  <c r="AL76" i="7"/>
  <c r="BP65" i="7"/>
  <c r="F99" i="7"/>
  <c r="AV85" i="7"/>
  <c r="BF85" i="7"/>
  <c r="AL85" i="7"/>
  <c r="AU97" i="7"/>
  <c r="AK97" i="7"/>
  <c r="BE97" i="7"/>
  <c r="AX73" i="7"/>
  <c r="BH73" i="7"/>
  <c r="AN73" i="7"/>
  <c r="BD30" i="32"/>
  <c r="BD28" i="32"/>
  <c r="BD26" i="32"/>
  <c r="BD18" i="32"/>
  <c r="BD32" i="32"/>
  <c r="BD23" i="32"/>
  <c r="BD14" i="32"/>
  <c r="BD12" i="32"/>
  <c r="BD10" i="32"/>
  <c r="BD17" i="32"/>
  <c r="BD31" i="32"/>
  <c r="BD24" i="32"/>
  <c r="BD15" i="32"/>
  <c r="BD6" i="32"/>
  <c r="N33" i="32"/>
  <c r="BD25" i="32"/>
  <c r="BD20" i="32"/>
  <c r="BD16" i="32"/>
  <c r="BD7" i="32"/>
  <c r="BD29" i="32"/>
  <c r="BD27" i="32"/>
  <c r="BD22" i="32"/>
  <c r="BD8" i="32"/>
  <c r="BD21" i="32"/>
  <c r="BD19" i="32"/>
  <c r="BD9" i="32"/>
  <c r="BD13" i="32"/>
  <c r="BD11" i="32"/>
  <c r="O10" i="32"/>
  <c r="BE10" i="32"/>
  <c r="O14" i="32"/>
  <c r="BE14" i="32"/>
  <c r="O18" i="32"/>
  <c r="BE18" i="32"/>
  <c r="O22" i="32"/>
  <c r="BE22" i="32"/>
  <c r="O26" i="32"/>
  <c r="BE26" i="32"/>
  <c r="O30" i="32"/>
  <c r="BE30" i="32"/>
  <c r="O7" i="32"/>
  <c r="BE7" i="32"/>
  <c r="O11" i="32"/>
  <c r="BE11" i="32"/>
  <c r="O15" i="32"/>
  <c r="BE15" i="32"/>
  <c r="O19" i="32"/>
  <c r="BE19" i="32"/>
  <c r="O23" i="32"/>
  <c r="BE23" i="32"/>
  <c r="O27" i="32"/>
  <c r="BE27" i="32"/>
  <c r="O31" i="32"/>
  <c r="BE31" i="32"/>
  <c r="O29" i="32"/>
  <c r="BE29" i="32"/>
  <c r="O8" i="32"/>
  <c r="BE8" i="32"/>
  <c r="O12" i="32"/>
  <c r="BE12" i="32"/>
  <c r="O16" i="32"/>
  <c r="BE16" i="32"/>
  <c r="O20" i="32"/>
  <c r="BE20" i="32"/>
  <c r="O24" i="32"/>
  <c r="BE24" i="32"/>
  <c r="O28" i="32"/>
  <c r="BE28" i="32"/>
  <c r="O32" i="32"/>
  <c r="BE32" i="32"/>
  <c r="O9" i="32"/>
  <c r="BE9" i="32"/>
  <c r="O13" i="32"/>
  <c r="BE13" i="32"/>
  <c r="O17" i="32"/>
  <c r="BE17" i="32"/>
  <c r="BE6" i="32"/>
  <c r="O21" i="32"/>
  <c r="BE21" i="32"/>
  <c r="O25" i="32"/>
  <c r="BE25" i="32"/>
  <c r="AW12" i="7"/>
  <c r="AW10" i="7"/>
  <c r="AW16" i="7"/>
  <c r="AW13" i="7"/>
  <c r="AW14" i="7"/>
  <c r="AW15" i="7"/>
  <c r="AI8" i="7"/>
  <c r="AX72" i="7"/>
  <c r="AN72" i="7"/>
  <c r="BH72" i="7"/>
  <c r="AY74" i="7"/>
  <c r="AO74" i="7"/>
  <c r="BI74" i="7"/>
  <c r="AY99" i="7"/>
  <c r="AO99" i="7"/>
  <c r="BI99" i="7"/>
  <c r="BG99" i="7"/>
  <c r="AW99" i="7"/>
  <c r="AM99" i="7"/>
  <c r="BF99" i="7"/>
  <c r="AL99" i="7"/>
  <c r="AV99" i="7"/>
  <c r="BE99" i="7"/>
  <c r="AK99" i="7"/>
  <c r="AU99" i="7"/>
  <c r="AK74" i="7"/>
  <c r="BE74" i="7"/>
  <c r="AU74" i="7"/>
  <c r="J99" i="7"/>
  <c r="BT65" i="7"/>
  <c r="AM74" i="7"/>
  <c r="BG74" i="7"/>
  <c r="AW74" i="7"/>
  <c r="AV73" i="7"/>
  <c r="BF73" i="7"/>
  <c r="AL73" i="7"/>
  <c r="BH99" i="7"/>
  <c r="AN99" i="7"/>
  <c r="AX99" i="7"/>
  <c r="AP81" i="7"/>
  <c r="AZ81" i="7"/>
  <c r="BJ81" i="7"/>
  <c r="BD33" i="32"/>
  <c r="BF6" i="32"/>
  <c r="P14" i="32"/>
  <c r="BF14" i="32"/>
  <c r="P22" i="32"/>
  <c r="BF22" i="32"/>
  <c r="P30" i="32"/>
  <c r="BF30" i="32"/>
  <c r="P9" i="32"/>
  <c r="BF9" i="32"/>
  <c r="P17" i="32"/>
  <c r="BF17" i="32"/>
  <c r="P25" i="32"/>
  <c r="BF25" i="32"/>
  <c r="P12" i="32"/>
  <c r="BF12" i="32"/>
  <c r="P20" i="32"/>
  <c r="BF20" i="32"/>
  <c r="P28" i="32"/>
  <c r="BF28" i="32"/>
  <c r="P19" i="32"/>
  <c r="BF19" i="32"/>
  <c r="P27" i="32"/>
  <c r="BF27" i="32"/>
  <c r="P7" i="32"/>
  <c r="P15" i="32"/>
  <c r="BF15" i="32"/>
  <c r="P23" i="32"/>
  <c r="BF23" i="32"/>
  <c r="P31" i="32"/>
  <c r="BF31" i="32"/>
  <c r="P11" i="32"/>
  <c r="BF11" i="32"/>
  <c r="P10" i="32"/>
  <c r="BF10" i="32"/>
  <c r="P18" i="32"/>
  <c r="BF18" i="32"/>
  <c r="P26" i="32"/>
  <c r="BF26" i="32"/>
  <c r="P32" i="32"/>
  <c r="BF32" i="32"/>
  <c r="P13" i="32"/>
  <c r="BF13" i="32"/>
  <c r="P21" i="32"/>
  <c r="BF21" i="32"/>
  <c r="P29" i="32"/>
  <c r="BF29" i="32"/>
  <c r="P8" i="32"/>
  <c r="BF8" i="32"/>
  <c r="P16" i="32"/>
  <c r="BF16" i="32"/>
  <c r="P24" i="32"/>
  <c r="BF24" i="32"/>
  <c r="AX12" i="7"/>
  <c r="AY8" i="7"/>
  <c r="AY10" i="7"/>
  <c r="AX10" i="7"/>
  <c r="AX13" i="7"/>
  <c r="AJ8" i="7"/>
  <c r="O33" i="32"/>
  <c r="BE33" i="32"/>
  <c r="AX14" i="7"/>
  <c r="AX16" i="7"/>
  <c r="AX15" i="7"/>
  <c r="V79" i="7"/>
  <c r="V77" i="7"/>
  <c r="V98" i="7"/>
  <c r="V81" i="7"/>
  <c r="V87" i="7"/>
  <c r="V73" i="7"/>
  <c r="V86" i="7"/>
  <c r="V74" i="7"/>
  <c r="V94" i="7"/>
  <c r="V90" i="7"/>
  <c r="V89" i="7"/>
  <c r="V91" i="7"/>
  <c r="V82" i="7"/>
  <c r="V92" i="7"/>
  <c r="V84" i="7"/>
  <c r="V78" i="7"/>
  <c r="V83" i="7"/>
  <c r="V72" i="7"/>
  <c r="V85" i="7"/>
  <c r="V75" i="7"/>
  <c r="V80" i="7"/>
  <c r="V95" i="7"/>
  <c r="V76" i="7"/>
  <c r="V93" i="7"/>
  <c r="V97" i="7"/>
  <c r="V88" i="7"/>
  <c r="V96" i="7"/>
  <c r="AZ99" i="7"/>
  <c r="AP99" i="7"/>
  <c r="BJ99" i="7"/>
  <c r="AY16" i="7"/>
  <c r="Q11" i="32"/>
  <c r="BG11" i="32"/>
  <c r="Q19" i="32"/>
  <c r="BG19" i="32"/>
  <c r="Q27" i="32"/>
  <c r="BG27" i="32"/>
  <c r="Q6" i="32"/>
  <c r="BG6" i="32"/>
  <c r="Q14" i="32"/>
  <c r="BG14" i="32"/>
  <c r="Q22" i="32"/>
  <c r="BG22" i="32"/>
  <c r="Q30" i="32"/>
  <c r="BG30" i="32"/>
  <c r="Q9" i="32"/>
  <c r="BG9" i="32"/>
  <c r="Q17" i="32"/>
  <c r="BG17" i="32"/>
  <c r="Q25" i="32"/>
  <c r="BG25" i="32"/>
  <c r="Q8" i="32"/>
  <c r="BG8" i="32"/>
  <c r="Q32" i="32"/>
  <c r="BG32" i="32"/>
  <c r="Q12" i="32"/>
  <c r="BG12" i="32"/>
  <c r="Q20" i="32"/>
  <c r="BG20" i="32"/>
  <c r="Q28" i="32"/>
  <c r="BG28" i="32"/>
  <c r="Q16" i="32"/>
  <c r="BG16" i="32"/>
  <c r="Q7" i="32"/>
  <c r="BG7" i="32"/>
  <c r="Q15" i="32"/>
  <c r="BG15" i="32"/>
  <c r="Q23" i="32"/>
  <c r="BG23" i="32"/>
  <c r="Q31" i="32"/>
  <c r="BG31" i="32"/>
  <c r="Q29" i="32"/>
  <c r="BG29" i="32"/>
  <c r="Q10" i="32"/>
  <c r="BG10" i="32"/>
  <c r="Q18" i="32"/>
  <c r="BG18" i="32"/>
  <c r="Q26" i="32"/>
  <c r="Q13" i="32"/>
  <c r="BG13" i="32"/>
  <c r="Q21" i="32"/>
  <c r="BG21" i="32"/>
  <c r="Q24" i="32"/>
  <c r="BG24" i="32"/>
  <c r="AY13" i="7"/>
  <c r="AK8" i="7"/>
  <c r="BG26" i="32"/>
  <c r="AY14" i="7"/>
  <c r="AY12" i="7"/>
  <c r="AY15" i="7"/>
  <c r="AZ8" i="7"/>
  <c r="P33" i="32"/>
  <c r="BF33" i="32"/>
  <c r="BF7" i="32"/>
  <c r="AZ13" i="7"/>
  <c r="R8" i="32"/>
  <c r="BH8" i="32"/>
  <c r="BI8" i="32"/>
  <c r="R16" i="32"/>
  <c r="BH16" i="32"/>
  <c r="BI16" i="32"/>
  <c r="R24" i="32"/>
  <c r="BH24" i="32"/>
  <c r="BI24" i="32"/>
  <c r="R32" i="32"/>
  <c r="S32" i="32"/>
  <c r="R11" i="32"/>
  <c r="S11" i="32"/>
  <c r="R19" i="32"/>
  <c r="BH19" i="32"/>
  <c r="BI19" i="32"/>
  <c r="R27" i="32"/>
  <c r="BH27" i="32"/>
  <c r="BI27" i="32"/>
  <c r="R6" i="32"/>
  <c r="BH6" i="32"/>
  <c r="BI6" i="32"/>
  <c r="R14" i="32"/>
  <c r="BH14" i="32"/>
  <c r="BI14" i="32"/>
  <c r="R22" i="32"/>
  <c r="BH22" i="32"/>
  <c r="BI22" i="32"/>
  <c r="R30" i="32"/>
  <c r="BH30" i="32"/>
  <c r="BI30" i="32"/>
  <c r="R9" i="32"/>
  <c r="BH9" i="32"/>
  <c r="BI9" i="32"/>
  <c r="R13" i="32"/>
  <c r="BH13" i="32"/>
  <c r="BI13" i="32"/>
  <c r="R17" i="32"/>
  <c r="BH17" i="32"/>
  <c r="BI17" i="32"/>
  <c r="R25" i="32"/>
  <c r="BH25" i="32"/>
  <c r="BI25" i="32"/>
  <c r="R21" i="32"/>
  <c r="BH21" i="32"/>
  <c r="BI21" i="32"/>
  <c r="R29" i="32"/>
  <c r="BH29" i="32"/>
  <c r="BI29" i="32"/>
  <c r="R12" i="32"/>
  <c r="BH12" i="32"/>
  <c r="BI12" i="32"/>
  <c r="R20" i="32"/>
  <c r="BH20" i="32"/>
  <c r="BI20" i="32"/>
  <c r="R28" i="32"/>
  <c r="BH28" i="32"/>
  <c r="BI28" i="32"/>
  <c r="R26" i="32"/>
  <c r="BH26" i="32"/>
  <c r="BI26" i="32"/>
  <c r="R7" i="32"/>
  <c r="S7" i="32"/>
  <c r="R15" i="32"/>
  <c r="BH15" i="32"/>
  <c r="BI15" i="32"/>
  <c r="R23" i="32"/>
  <c r="BH23" i="32"/>
  <c r="BI23" i="32"/>
  <c r="R31" i="32"/>
  <c r="BH31" i="32"/>
  <c r="BI31" i="32"/>
  <c r="R10" i="32"/>
  <c r="BH10" i="32"/>
  <c r="BI10" i="32"/>
  <c r="R18" i="32"/>
  <c r="BH18" i="32"/>
  <c r="BI18" i="32"/>
  <c r="AZ12" i="7"/>
  <c r="AZ14" i="7"/>
  <c r="AL8" i="7"/>
  <c r="AZ16" i="7"/>
  <c r="Q33" i="32"/>
  <c r="BG33" i="32"/>
  <c r="AZ15" i="7"/>
  <c r="AZ10" i="7"/>
  <c r="S16" i="32"/>
  <c r="S6" i="32"/>
  <c r="S29" i="32"/>
  <c r="S21" i="32"/>
  <c r="S28" i="32"/>
  <c r="BH11" i="32"/>
  <c r="BI11" i="32"/>
  <c r="S19" i="32"/>
  <c r="BH7" i="32"/>
  <c r="BI7" i="32"/>
  <c r="S17" i="32"/>
  <c r="S15" i="32"/>
  <c r="S24" i="32"/>
  <c r="S22" i="32"/>
  <c r="BH32" i="32"/>
  <c r="BI32" i="32"/>
  <c r="S9" i="32"/>
  <c r="S13" i="32"/>
  <c r="S20" i="32"/>
  <c r="S27" i="32"/>
  <c r="S10" i="32"/>
  <c r="S25" i="32"/>
  <c r="S14" i="32"/>
  <c r="S30" i="32"/>
  <c r="S12" i="32"/>
  <c r="S8" i="32"/>
  <c r="S23" i="32"/>
  <c r="S26" i="32"/>
  <c r="S18" i="32"/>
  <c r="R33" i="32"/>
  <c r="BH33" i="32"/>
  <c r="BI33" i="32"/>
  <c r="S31" i="32"/>
  <c r="D39" i="7"/>
  <c r="N38" i="7"/>
  <c r="D38" i="7"/>
  <c r="X38" i="7"/>
  <c r="S33" i="32"/>
  <c r="N42" i="7"/>
  <c r="N50" i="7"/>
  <c r="N58" i="7"/>
  <c r="N40" i="7"/>
  <c r="N43" i="7"/>
  <c r="N51" i="7"/>
  <c r="N59" i="7"/>
  <c r="N48" i="7"/>
  <c r="N41" i="7"/>
  <c r="N44" i="7"/>
  <c r="N52" i="7"/>
  <c r="N60" i="7"/>
  <c r="N45" i="7"/>
  <c r="N53" i="7"/>
  <c r="N61" i="7"/>
  <c r="N49" i="7"/>
  <c r="N46" i="7"/>
  <c r="N54" i="7"/>
  <c r="N62" i="7"/>
  <c r="N56" i="7"/>
  <c r="N57" i="7"/>
  <c r="N39" i="7"/>
  <c r="N47" i="7"/>
  <c r="N55" i="7"/>
  <c r="N63" i="7"/>
  <c r="N64" i="7"/>
  <c r="O49" i="7"/>
  <c r="O40" i="7"/>
  <c r="O54" i="7"/>
  <c r="O45" i="7"/>
  <c r="O63" i="7"/>
  <c r="O57" i="7"/>
  <c r="O48" i="7"/>
  <c r="O44" i="7"/>
  <c r="O50" i="7"/>
  <c r="O38" i="7"/>
  <c r="BC38" i="7"/>
  <c r="O61" i="7"/>
  <c r="O58" i="7"/>
  <c r="O43" i="7"/>
  <c r="O60" i="7"/>
  <c r="O56" i="7"/>
  <c r="O47" i="7"/>
  <c r="O39" i="7"/>
  <c r="O41" i="7"/>
  <c r="O55" i="7"/>
  <c r="O53" i="7"/>
  <c r="O64" i="7"/>
  <c r="O62" i="7"/>
  <c r="O46" i="7"/>
  <c r="O42" i="7"/>
  <c r="O59" i="7"/>
  <c r="O51" i="7"/>
  <c r="O52" i="7"/>
  <c r="D42" i="7"/>
  <c r="D62" i="7"/>
  <c r="D55" i="7"/>
  <c r="D41" i="7"/>
  <c r="D51" i="7"/>
  <c r="D61" i="7"/>
  <c r="D46" i="7"/>
  <c r="D45" i="7"/>
  <c r="D56" i="7"/>
  <c r="D63" i="7"/>
  <c r="D52" i="7"/>
  <c r="D60" i="7"/>
  <c r="D59" i="7"/>
  <c r="D40" i="7"/>
  <c r="D48" i="7"/>
  <c r="D58" i="7"/>
  <c r="D43" i="7"/>
  <c r="D54" i="7"/>
  <c r="D50" i="7"/>
  <c r="D57" i="7"/>
  <c r="D44" i="7"/>
  <c r="D49" i="7"/>
  <c r="D64" i="7"/>
  <c r="D47" i="7"/>
  <c r="D53" i="7"/>
  <c r="AR38" i="7"/>
  <c r="AH38" i="7"/>
  <c r="N65" i="7"/>
  <c r="BC58" i="7"/>
  <c r="AS58" i="7"/>
  <c r="CI58" i="7"/>
  <c r="D26" i="32"/>
  <c r="X64" i="7"/>
  <c r="AH64" i="7"/>
  <c r="X57" i="7"/>
  <c r="AH57" i="7"/>
  <c r="X46" i="7"/>
  <c r="AH46" i="7"/>
  <c r="BC52" i="7"/>
  <c r="AS52" i="7"/>
  <c r="CI52" i="7"/>
  <c r="D20" i="32"/>
  <c r="BC55" i="7"/>
  <c r="AS55" i="7"/>
  <c r="CI55" i="7"/>
  <c r="D23" i="32"/>
  <c r="AS61" i="7"/>
  <c r="CI61" i="7"/>
  <c r="D29" i="32"/>
  <c r="BC61" i="7"/>
  <c r="AS54" i="7"/>
  <c r="CI54" i="7"/>
  <c r="D22" i="32"/>
  <c r="BC54" i="7"/>
  <c r="X53" i="7"/>
  <c r="AH53" i="7"/>
  <c r="AI5" i="7"/>
  <c r="X40" i="7"/>
  <c r="AH40" i="7"/>
  <c r="X45" i="7"/>
  <c r="AH45" i="7"/>
  <c r="AS53" i="7"/>
  <c r="CI53" i="7"/>
  <c r="D21" i="32"/>
  <c r="BC53" i="7"/>
  <c r="AS45" i="7"/>
  <c r="CI45" i="7"/>
  <c r="D13" i="32"/>
  <c r="BC45" i="7"/>
  <c r="X50" i="7"/>
  <c r="AH50" i="7"/>
  <c r="X61" i="7"/>
  <c r="AH61" i="7"/>
  <c r="BC51" i="7"/>
  <c r="AS51" i="7"/>
  <c r="CI51" i="7"/>
  <c r="D19" i="32"/>
  <c r="AS41" i="7"/>
  <c r="CI41" i="7"/>
  <c r="D9" i="32"/>
  <c r="BC41" i="7"/>
  <c r="O65" i="7"/>
  <c r="BC65" i="7"/>
  <c r="AS38" i="7"/>
  <c r="CI38" i="7"/>
  <c r="D6" i="32"/>
  <c r="AS40" i="7"/>
  <c r="CI40" i="7"/>
  <c r="D8" i="32"/>
  <c r="BC40" i="7"/>
  <c r="X56" i="7"/>
  <c r="AH56" i="7"/>
  <c r="BC43" i="7"/>
  <c r="AS43" i="7"/>
  <c r="CI43" i="7"/>
  <c r="D11" i="32"/>
  <c r="X51" i="7"/>
  <c r="AH51" i="7"/>
  <c r="BC50" i="7"/>
  <c r="AS50" i="7"/>
  <c r="CI50" i="7"/>
  <c r="D18" i="32"/>
  <c r="X49" i="7"/>
  <c r="AH49" i="7"/>
  <c r="X41" i="7"/>
  <c r="AR41" i="7"/>
  <c r="AS42" i="7"/>
  <c r="CI42" i="7"/>
  <c r="D10" i="32"/>
  <c r="BC42" i="7"/>
  <c r="AS47" i="7"/>
  <c r="CI47" i="7"/>
  <c r="D15" i="32"/>
  <c r="BC47" i="7"/>
  <c r="BC44" i="7"/>
  <c r="AS44" i="7"/>
  <c r="CI44" i="7"/>
  <c r="D12" i="32"/>
  <c r="X48" i="7"/>
  <c r="AH48" i="7"/>
  <c r="BC64" i="7"/>
  <c r="AS64" i="7"/>
  <c r="CI64" i="7"/>
  <c r="D32" i="32"/>
  <c r="BC59" i="7"/>
  <c r="AS59" i="7"/>
  <c r="CI59" i="7"/>
  <c r="D27" i="32"/>
  <c r="X60" i="7"/>
  <c r="AH60" i="7"/>
  <c r="X39" i="7"/>
  <c r="X44" i="7"/>
  <c r="AH44" i="7"/>
  <c r="X43" i="7"/>
  <c r="AH43" i="7"/>
  <c r="X52" i="7"/>
  <c r="AH52" i="7"/>
  <c r="X55" i="7"/>
  <c r="AH55" i="7"/>
  <c r="BC46" i="7"/>
  <c r="AS46" i="7"/>
  <c r="CI46" i="7"/>
  <c r="D14" i="32"/>
  <c r="AS56" i="7"/>
  <c r="CI56" i="7"/>
  <c r="D24" i="32"/>
  <c r="BC56" i="7"/>
  <c r="AS48" i="7"/>
  <c r="CI48" i="7"/>
  <c r="D16" i="32"/>
  <c r="BC48" i="7"/>
  <c r="X47" i="7"/>
  <c r="AR47" i="7"/>
  <c r="X42" i="7"/>
  <c r="AH42" i="7"/>
  <c r="BC63" i="7"/>
  <c r="AS63" i="7"/>
  <c r="CI63" i="7"/>
  <c r="D31" i="32"/>
  <c r="X59" i="7"/>
  <c r="AH59" i="7"/>
  <c r="BC39" i="7"/>
  <c r="AS39" i="7"/>
  <c r="CI39" i="7"/>
  <c r="D7" i="32"/>
  <c r="AS49" i="7"/>
  <c r="CI49" i="7"/>
  <c r="D17" i="32"/>
  <c r="BC49" i="7"/>
  <c r="X54" i="7"/>
  <c r="AH54" i="7"/>
  <c r="X58" i="7"/>
  <c r="AH58" i="7"/>
  <c r="X63" i="7"/>
  <c r="AH63" i="7"/>
  <c r="X62" i="7"/>
  <c r="AH62" i="7"/>
  <c r="AS62" i="7"/>
  <c r="CI62" i="7"/>
  <c r="D30" i="32"/>
  <c r="BC62" i="7"/>
  <c r="BC60" i="7"/>
  <c r="AS60" i="7"/>
  <c r="CI60" i="7"/>
  <c r="D28" i="32"/>
  <c r="AS57" i="7"/>
  <c r="CI57" i="7"/>
  <c r="D25" i="32"/>
  <c r="BC57" i="7"/>
  <c r="D65" i="7"/>
  <c r="AH39" i="7"/>
  <c r="BB38" i="7"/>
  <c r="AR53" i="7"/>
  <c r="BB53" i="7"/>
  <c r="AR46" i="7"/>
  <c r="BB46" i="7"/>
  <c r="AR60" i="7"/>
  <c r="BB60" i="7"/>
  <c r="AR63" i="7"/>
  <c r="BB63" i="7"/>
  <c r="AR62" i="7"/>
  <c r="BB62" i="7"/>
  <c r="AR42" i="7"/>
  <c r="BB42" i="7"/>
  <c r="AR58" i="7"/>
  <c r="BB58" i="7"/>
  <c r="AR43" i="7"/>
  <c r="BB43" i="7"/>
  <c r="AR52" i="7"/>
  <c r="BB52" i="7"/>
  <c r="AR56" i="7"/>
  <c r="BB56" i="7"/>
  <c r="AR49" i="7"/>
  <c r="BB49" i="7"/>
  <c r="AR54" i="7"/>
  <c r="BB54" i="7"/>
  <c r="AR51" i="7"/>
  <c r="BB51" i="7"/>
  <c r="AR55" i="7"/>
  <c r="BB55" i="7"/>
  <c r="AR64" i="7"/>
  <c r="BB64" i="7"/>
  <c r="AR45" i="7"/>
  <c r="BB45" i="7"/>
  <c r="AR48" i="7"/>
  <c r="BB48" i="7"/>
  <c r="AR50" i="7"/>
  <c r="BB50" i="7"/>
  <c r="AR59" i="7"/>
  <c r="BB59" i="7"/>
  <c r="AR57" i="7"/>
  <c r="BB57" i="7"/>
  <c r="AR61" i="7"/>
  <c r="BB61" i="7"/>
  <c r="AR44" i="7"/>
  <c r="BB44" i="7"/>
  <c r="AR40" i="7"/>
  <c r="BB40" i="7"/>
  <c r="AR39" i="7"/>
  <c r="AK124" i="7"/>
  <c r="O93" i="7"/>
  <c r="BE124" i="7"/>
  <c r="AU124" i="7"/>
  <c r="BE107" i="7"/>
  <c r="O76" i="7"/>
  <c r="AU107" i="7"/>
  <c r="AK107" i="7"/>
  <c r="D91" i="7"/>
  <c r="BN57" i="7"/>
  <c r="AI7" i="7"/>
  <c r="O86" i="7"/>
  <c r="AK117" i="7"/>
  <c r="AU117" i="7"/>
  <c r="BE117" i="7"/>
  <c r="BE123" i="7"/>
  <c r="AU123" i="7"/>
  <c r="O92" i="7"/>
  <c r="AK123" i="7"/>
  <c r="O97" i="7"/>
  <c r="BE128" i="7"/>
  <c r="AK128" i="7"/>
  <c r="AU128" i="7"/>
  <c r="BN48" i="7"/>
  <c r="D82" i="7"/>
  <c r="AG8" i="7"/>
  <c r="AP8" i="7"/>
  <c r="AH41" i="7"/>
  <c r="BB41" i="7"/>
  <c r="D87" i="7"/>
  <c r="BN53" i="7"/>
  <c r="AU104" i="7"/>
  <c r="BE104" i="7"/>
  <c r="AK104" i="7"/>
  <c r="O73" i="7"/>
  <c r="D76" i="7"/>
  <c r="BN42" i="7"/>
  <c r="D86" i="7"/>
  <c r="BN52" i="7"/>
  <c r="AU122" i="7"/>
  <c r="AK122" i="7"/>
  <c r="O91" i="7"/>
  <c r="BE122" i="7"/>
  <c r="D97" i="7"/>
  <c r="BN63" i="7"/>
  <c r="BE113" i="7"/>
  <c r="AK113" i="7"/>
  <c r="AU113" i="7"/>
  <c r="O82" i="7"/>
  <c r="AU109" i="7"/>
  <c r="O78" i="7"/>
  <c r="AK109" i="7"/>
  <c r="BE109" i="7"/>
  <c r="AK108" i="7"/>
  <c r="BE108" i="7"/>
  <c r="O77" i="7"/>
  <c r="AU108" i="7"/>
  <c r="BE106" i="7"/>
  <c r="O75" i="7"/>
  <c r="AU106" i="7"/>
  <c r="AK106" i="7"/>
  <c r="BN50" i="7"/>
  <c r="D84" i="7"/>
  <c r="BE110" i="7"/>
  <c r="AK110" i="7"/>
  <c r="O79" i="7"/>
  <c r="AU110" i="7"/>
  <c r="D98" i="7"/>
  <c r="BN64" i="7"/>
  <c r="D33" i="32"/>
  <c r="AU130" i="7"/>
  <c r="CI65" i="7"/>
  <c r="D96" i="7"/>
  <c r="BN62" i="7"/>
  <c r="D92" i="7"/>
  <c r="BN58" i="7"/>
  <c r="BN60" i="7"/>
  <c r="D94" i="7"/>
  <c r="BN49" i="7"/>
  <c r="D83" i="7"/>
  <c r="D88" i="7"/>
  <c r="BN54" i="7"/>
  <c r="BN59" i="7"/>
  <c r="D93" i="7"/>
  <c r="AH47" i="7"/>
  <c r="BB47" i="7"/>
  <c r="BE121" i="7"/>
  <c r="AU121" i="7"/>
  <c r="O90" i="7"/>
  <c r="AK121" i="7"/>
  <c r="BN43" i="7"/>
  <c r="D77" i="7"/>
  <c r="O98" i="7"/>
  <c r="AU129" i="7"/>
  <c r="BE129" i="7"/>
  <c r="AK129" i="7"/>
  <c r="O84" i="7"/>
  <c r="AU115" i="7"/>
  <c r="AK115" i="7"/>
  <c r="BE115" i="7"/>
  <c r="AU118" i="7"/>
  <c r="BE118" i="7"/>
  <c r="AK118" i="7"/>
  <c r="O87" i="7"/>
  <c r="BE119" i="7"/>
  <c r="AK119" i="7"/>
  <c r="AU119" i="7"/>
  <c r="O88" i="7"/>
  <c r="BN46" i="7"/>
  <c r="D80" i="7"/>
  <c r="BN55" i="7"/>
  <c r="D89" i="7"/>
  <c r="D85" i="7"/>
  <c r="BN51" i="7"/>
  <c r="AU120" i="7"/>
  <c r="O89" i="7"/>
  <c r="AK120" i="7"/>
  <c r="BE120" i="7"/>
  <c r="D72" i="7"/>
  <c r="BN38" i="7"/>
  <c r="O80" i="7"/>
  <c r="AK111" i="7"/>
  <c r="AU111" i="7"/>
  <c r="BE111" i="7"/>
  <c r="D78" i="7"/>
  <c r="BN44" i="7"/>
  <c r="O81" i="7"/>
  <c r="AK112" i="7"/>
  <c r="BE112" i="7"/>
  <c r="AU112" i="7"/>
  <c r="D90" i="7"/>
  <c r="BN56" i="7"/>
  <c r="AU105" i="7"/>
  <c r="AK105" i="7"/>
  <c r="O74" i="7"/>
  <c r="BE105" i="7"/>
  <c r="BN61" i="7"/>
  <c r="D95" i="7"/>
  <c r="D74" i="7"/>
  <c r="BN40" i="7"/>
  <c r="BE114" i="7"/>
  <c r="AK114" i="7"/>
  <c r="AU114" i="7"/>
  <c r="O83" i="7"/>
  <c r="AK125" i="7"/>
  <c r="BE125" i="7"/>
  <c r="AU125" i="7"/>
  <c r="O94" i="7"/>
  <c r="AK116" i="7"/>
  <c r="AU116" i="7"/>
  <c r="BE116" i="7"/>
  <c r="O85" i="7"/>
  <c r="BE127" i="7"/>
  <c r="AU127" i="7"/>
  <c r="O96" i="7"/>
  <c r="AK127" i="7"/>
  <c r="X65" i="7"/>
  <c r="AH65" i="7"/>
  <c r="AU103" i="7"/>
  <c r="O72" i="7"/>
  <c r="AS65" i="7"/>
  <c r="AK103" i="7"/>
  <c r="BE103" i="7"/>
  <c r="D79" i="7"/>
  <c r="BN45" i="7"/>
  <c r="O95" i="7"/>
  <c r="AK126" i="7"/>
  <c r="BE126" i="7"/>
  <c r="AU126" i="7"/>
  <c r="BB39" i="7"/>
  <c r="D73" i="7"/>
  <c r="BN39" i="7"/>
  <c r="AT73" i="7"/>
  <c r="AT90" i="7"/>
  <c r="BD90" i="7"/>
  <c r="AJ90" i="7"/>
  <c r="AT72" i="7"/>
  <c r="AJ72" i="7"/>
  <c r="BD72" i="7"/>
  <c r="BD89" i="7"/>
  <c r="AJ89" i="7"/>
  <c r="AT89" i="7"/>
  <c r="AT86" i="7"/>
  <c r="BD86" i="7"/>
  <c r="AJ86" i="7"/>
  <c r="BN41" i="7"/>
  <c r="D75" i="7"/>
  <c r="AT79" i="7"/>
  <c r="AJ79" i="7"/>
  <c r="BD79" i="7"/>
  <c r="AT91" i="7"/>
  <c r="AJ91" i="7"/>
  <c r="BD91" i="7"/>
  <c r="AT74" i="7"/>
  <c r="BD74" i="7"/>
  <c r="AJ74" i="7"/>
  <c r="AT95" i="7"/>
  <c r="BD95" i="7"/>
  <c r="AJ95" i="7"/>
  <c r="AT78" i="7"/>
  <c r="AJ78" i="7"/>
  <c r="BD78" i="7"/>
  <c r="BN47" i="7"/>
  <c r="D81" i="7"/>
  <c r="AT92" i="7"/>
  <c r="BD92" i="7"/>
  <c r="AJ92" i="7"/>
  <c r="AT98" i="7"/>
  <c r="BD98" i="7"/>
  <c r="AJ98" i="7"/>
  <c r="BD82" i="7"/>
  <c r="AT82" i="7"/>
  <c r="AJ82" i="7"/>
  <c r="AT77" i="7"/>
  <c r="BD77" i="7"/>
  <c r="AJ77" i="7"/>
  <c r="BD93" i="7"/>
  <c r="AJ93" i="7"/>
  <c r="AT93" i="7"/>
  <c r="D99" i="7"/>
  <c r="BN65" i="7"/>
  <c r="AT76" i="7"/>
  <c r="BD76" i="7"/>
  <c r="AJ76" i="7"/>
  <c r="AJ88" i="7"/>
  <c r="BD88" i="7"/>
  <c r="AT88" i="7"/>
  <c r="AT83" i="7"/>
  <c r="BD83" i="7"/>
  <c r="AJ83" i="7"/>
  <c r="BD96" i="7"/>
  <c r="AJ96" i="7"/>
  <c r="AT96" i="7"/>
  <c r="BD87" i="7"/>
  <c r="AT87" i="7"/>
  <c r="AJ87" i="7"/>
  <c r="BE130" i="7"/>
  <c r="O99" i="7"/>
  <c r="AK130" i="7"/>
  <c r="BD94" i="7"/>
  <c r="AJ94" i="7"/>
  <c r="AT94" i="7"/>
  <c r="AJ80" i="7"/>
  <c r="BD80" i="7"/>
  <c r="AT80" i="7"/>
  <c r="BD84" i="7"/>
  <c r="AT84" i="7"/>
  <c r="AJ84" i="7"/>
  <c r="AT97" i="7"/>
  <c r="BD97" i="7"/>
  <c r="AJ97" i="7"/>
  <c r="AJ85" i="7"/>
  <c r="BD85" i="7"/>
  <c r="AT85" i="7"/>
  <c r="P42" i="7"/>
  <c r="P61" i="7"/>
  <c r="P63" i="7"/>
  <c r="P39" i="7"/>
  <c r="P47" i="7"/>
  <c r="P58" i="7"/>
  <c r="P46" i="7"/>
  <c r="P41" i="7"/>
  <c r="P52" i="7"/>
  <c r="P43" i="7"/>
  <c r="P54" i="7"/>
  <c r="P49" i="7"/>
  <c r="P64" i="7"/>
  <c r="P56" i="7"/>
  <c r="P55" i="7"/>
  <c r="P59" i="7"/>
  <c r="P45" i="7"/>
  <c r="P53" i="7"/>
  <c r="P40" i="7"/>
  <c r="P57" i="7"/>
  <c r="P50" i="7"/>
  <c r="P60" i="7"/>
  <c r="P51" i="7"/>
  <c r="P62" i="7"/>
  <c r="P38" i="7"/>
  <c r="P48" i="7"/>
  <c r="P44" i="7"/>
  <c r="AI10" i="7"/>
  <c r="AJ5" i="7"/>
  <c r="BD73" i="7"/>
  <c r="AJ73" i="7"/>
  <c r="AT56" i="7"/>
  <c r="CJ56" i="7"/>
  <c r="E24" i="32"/>
  <c r="BD56" i="7"/>
  <c r="BD75" i="7"/>
  <c r="AT75" i="7"/>
  <c r="AJ75" i="7"/>
  <c r="AT50" i="7"/>
  <c r="CJ50" i="7"/>
  <c r="E18" i="32"/>
  <c r="BD50" i="7"/>
  <c r="BD57" i="7"/>
  <c r="AT57" i="7"/>
  <c r="CJ57" i="7"/>
  <c r="E25" i="32"/>
  <c r="BD49" i="7"/>
  <c r="AT49" i="7"/>
  <c r="CJ49" i="7"/>
  <c r="E17" i="32"/>
  <c r="BD39" i="7"/>
  <c r="AT39" i="7"/>
  <c r="CJ39" i="7"/>
  <c r="E7" i="32"/>
  <c r="BD58" i="7"/>
  <c r="AT58" i="7"/>
  <c r="CJ58" i="7"/>
  <c r="E26" i="32"/>
  <c r="BD44" i="7"/>
  <c r="AT44" i="7"/>
  <c r="CJ44" i="7"/>
  <c r="E12" i="32"/>
  <c r="BD40" i="7"/>
  <c r="AT40" i="7"/>
  <c r="CJ40" i="7"/>
  <c r="E8" i="32"/>
  <c r="BD54" i="7"/>
  <c r="AT54" i="7"/>
  <c r="CJ54" i="7"/>
  <c r="E22" i="32"/>
  <c r="AT63" i="7"/>
  <c r="CJ63" i="7"/>
  <c r="E31" i="32"/>
  <c r="BD63" i="7"/>
  <c r="AT99" i="7"/>
  <c r="AJ99" i="7"/>
  <c r="BD99" i="7"/>
  <c r="AJ81" i="7"/>
  <c r="AT81" i="7"/>
  <c r="BD81" i="7"/>
  <c r="AT60" i="7"/>
  <c r="CJ60" i="7"/>
  <c r="E28" i="32"/>
  <c r="BD60" i="7"/>
  <c r="BD64" i="7"/>
  <c r="AT64" i="7"/>
  <c r="CJ64" i="7"/>
  <c r="E32" i="32"/>
  <c r="AT61" i="7"/>
  <c r="CJ61" i="7"/>
  <c r="E29" i="32"/>
  <c r="BD61" i="7"/>
  <c r="BD45" i="7"/>
  <c r="AT45" i="7"/>
  <c r="CJ45" i="7"/>
  <c r="E13" i="32"/>
  <c r="BD52" i="7"/>
  <c r="AT52" i="7"/>
  <c r="CJ52" i="7"/>
  <c r="E20" i="32"/>
  <c r="AT42" i="7"/>
  <c r="CJ42" i="7"/>
  <c r="E10" i="32"/>
  <c r="BD42" i="7"/>
  <c r="AJ7" i="7"/>
  <c r="BD48" i="7"/>
  <c r="AT48" i="7"/>
  <c r="CJ48" i="7"/>
  <c r="E16" i="32"/>
  <c r="AT43" i="7"/>
  <c r="CJ43" i="7"/>
  <c r="E11" i="32"/>
  <c r="BD43" i="7"/>
  <c r="AT62" i="7"/>
  <c r="CJ62" i="7"/>
  <c r="E30" i="32"/>
  <c r="BD62" i="7"/>
  <c r="BD47" i="7"/>
  <c r="AT47" i="7"/>
  <c r="CJ47" i="7"/>
  <c r="E15" i="32"/>
  <c r="AT53" i="7"/>
  <c r="CJ53" i="7"/>
  <c r="E21" i="32"/>
  <c r="BD53" i="7"/>
  <c r="P65" i="7"/>
  <c r="BD65" i="7"/>
  <c r="BD38" i="7"/>
  <c r="AT38" i="7"/>
  <c r="CJ38" i="7"/>
  <c r="E6" i="32"/>
  <c r="AT59" i="7"/>
  <c r="CJ59" i="7"/>
  <c r="E27" i="32"/>
  <c r="BD59" i="7"/>
  <c r="BD41" i="7"/>
  <c r="AT41" i="7"/>
  <c r="CJ41" i="7"/>
  <c r="E9" i="32"/>
  <c r="BD51" i="7"/>
  <c r="AT51" i="7"/>
  <c r="CJ51" i="7"/>
  <c r="E19" i="32"/>
  <c r="AT55" i="7"/>
  <c r="CJ55" i="7"/>
  <c r="E23" i="32"/>
  <c r="BD55" i="7"/>
  <c r="AT46" i="7"/>
  <c r="CJ46" i="7"/>
  <c r="E14" i="32"/>
  <c r="BD46" i="7"/>
  <c r="AV111" i="7"/>
  <c r="P80" i="7"/>
  <c r="BF111" i="7"/>
  <c r="AL111" i="7"/>
  <c r="P76" i="7"/>
  <c r="AV107" i="7"/>
  <c r="BF107" i="7"/>
  <c r="AL107" i="7"/>
  <c r="P84" i="7"/>
  <c r="BF115" i="7"/>
  <c r="AV115" i="7"/>
  <c r="AL115" i="7"/>
  <c r="P77" i="7"/>
  <c r="AL108" i="7"/>
  <c r="BF108" i="7"/>
  <c r="AV108" i="7"/>
  <c r="P86" i="7"/>
  <c r="AV117" i="7"/>
  <c r="BF117" i="7"/>
  <c r="AL117" i="7"/>
  <c r="AL128" i="7"/>
  <c r="BF128" i="7"/>
  <c r="P97" i="7"/>
  <c r="AV128" i="7"/>
  <c r="AV109" i="7"/>
  <c r="BF109" i="7"/>
  <c r="P78" i="7"/>
  <c r="AL109" i="7"/>
  <c r="AV122" i="7"/>
  <c r="AL122" i="7"/>
  <c r="P91" i="7"/>
  <c r="BF122" i="7"/>
  <c r="P95" i="7"/>
  <c r="BF126" i="7"/>
  <c r="AL126" i="7"/>
  <c r="AV126" i="7"/>
  <c r="AV120" i="7"/>
  <c r="AL120" i="7"/>
  <c r="P89" i="7"/>
  <c r="BF120" i="7"/>
  <c r="AL129" i="7"/>
  <c r="P98" i="7"/>
  <c r="BF129" i="7"/>
  <c r="AV129" i="7"/>
  <c r="AL104" i="7"/>
  <c r="AV104" i="7"/>
  <c r="BF104" i="7"/>
  <c r="P73" i="7"/>
  <c r="P85" i="7"/>
  <c r="AV116" i="7"/>
  <c r="AL116" i="7"/>
  <c r="BF116" i="7"/>
  <c r="BF118" i="7"/>
  <c r="AL118" i="7"/>
  <c r="P87" i="7"/>
  <c r="AV118" i="7"/>
  <c r="P79" i="7"/>
  <c r="BF110" i="7"/>
  <c r="AL110" i="7"/>
  <c r="AV110" i="7"/>
  <c r="P75" i="7"/>
  <c r="AL106" i="7"/>
  <c r="AV106" i="7"/>
  <c r="BF106" i="7"/>
  <c r="Q58" i="7"/>
  <c r="Q42" i="7"/>
  <c r="Q40" i="7"/>
  <c r="Q41" i="7"/>
  <c r="Q51" i="7"/>
  <c r="Q64" i="7"/>
  <c r="Q59" i="7"/>
  <c r="Q44" i="7"/>
  <c r="Q52" i="7"/>
  <c r="Q56" i="7"/>
  <c r="Q39" i="7"/>
  <c r="Q46" i="7"/>
  <c r="Q54" i="7"/>
  <c r="AJ10" i="7"/>
  <c r="AK5" i="7"/>
  <c r="Q57" i="7"/>
  <c r="Q38" i="7"/>
  <c r="Q61" i="7"/>
  <c r="Q45" i="7"/>
  <c r="Q55" i="7"/>
  <c r="Q49" i="7"/>
  <c r="Q63" i="7"/>
  <c r="Q53" i="7"/>
  <c r="Q48" i="7"/>
  <c r="Q60" i="7"/>
  <c r="Q47" i="7"/>
  <c r="Q50" i="7"/>
  <c r="Q43" i="7"/>
  <c r="Q62" i="7"/>
  <c r="AL103" i="7"/>
  <c r="BF103" i="7"/>
  <c r="P72" i="7"/>
  <c r="AT65" i="7"/>
  <c r="AV103" i="7"/>
  <c r="AV130" i="7"/>
  <c r="CJ65" i="7"/>
  <c r="E33" i="32"/>
  <c r="BF123" i="7"/>
  <c r="AV123" i="7"/>
  <c r="P92" i="7"/>
  <c r="AL123" i="7"/>
  <c r="P93" i="7"/>
  <c r="AV124" i="7"/>
  <c r="AL124" i="7"/>
  <c r="BF124" i="7"/>
  <c r="BF113" i="7"/>
  <c r="AL113" i="7"/>
  <c r="AV113" i="7"/>
  <c r="P82" i="7"/>
  <c r="BF119" i="7"/>
  <c r="AL119" i="7"/>
  <c r="P88" i="7"/>
  <c r="AV119" i="7"/>
  <c r="BF112" i="7"/>
  <c r="AV112" i="7"/>
  <c r="P81" i="7"/>
  <c r="AL112" i="7"/>
  <c r="AV127" i="7"/>
  <c r="AL127" i="7"/>
  <c r="P96" i="7"/>
  <c r="BF127" i="7"/>
  <c r="AL125" i="7"/>
  <c r="BF125" i="7"/>
  <c r="AV125" i="7"/>
  <c r="P94" i="7"/>
  <c r="AV105" i="7"/>
  <c r="AL105" i="7"/>
  <c r="P74" i="7"/>
  <c r="BF105" i="7"/>
  <c r="AL114" i="7"/>
  <c r="AV114" i="7"/>
  <c r="P83" i="7"/>
  <c r="BF114" i="7"/>
  <c r="AV121" i="7"/>
  <c r="AL121" i="7"/>
  <c r="BF121" i="7"/>
  <c r="P90" i="7"/>
  <c r="AU54" i="7"/>
  <c r="BE54" i="7"/>
  <c r="AU48" i="7"/>
  <c r="BE48" i="7"/>
  <c r="AU57" i="7"/>
  <c r="BE57" i="7"/>
  <c r="AU52" i="7"/>
  <c r="BE52" i="7"/>
  <c r="AU43" i="7"/>
  <c r="BE43" i="7"/>
  <c r="AU53" i="7"/>
  <c r="BE53" i="7"/>
  <c r="AU61" i="7"/>
  <c r="BE61" i="7"/>
  <c r="AK7" i="7"/>
  <c r="AU44" i="7"/>
  <c r="BE44" i="7"/>
  <c r="AU60" i="7"/>
  <c r="BE60" i="7"/>
  <c r="AU64" i="7"/>
  <c r="BE64" i="7"/>
  <c r="BF130" i="7"/>
  <c r="AL130" i="7"/>
  <c r="P99" i="7"/>
  <c r="AU46" i="7"/>
  <c r="BE46" i="7"/>
  <c r="AU51" i="7"/>
  <c r="BE51" i="7"/>
  <c r="AU42" i="7"/>
  <c r="BE42" i="7"/>
  <c r="AU55" i="7"/>
  <c r="BE55" i="7"/>
  <c r="AU45" i="7"/>
  <c r="BE45" i="7"/>
  <c r="BE38" i="7"/>
  <c r="AU38" i="7"/>
  <c r="Q65" i="7"/>
  <c r="BE65" i="7"/>
  <c r="AU40" i="7"/>
  <c r="BE40" i="7"/>
  <c r="BE58" i="7"/>
  <c r="AU58" i="7"/>
  <c r="AU59" i="7"/>
  <c r="BE59" i="7"/>
  <c r="AU49" i="7"/>
  <c r="BE49" i="7"/>
  <c r="AU41" i="7"/>
  <c r="BE41" i="7"/>
  <c r="AU62" i="7"/>
  <c r="BE62" i="7"/>
  <c r="AU56" i="7"/>
  <c r="BE56" i="7"/>
  <c r="AU50" i="7"/>
  <c r="BE50" i="7"/>
  <c r="AU47" i="7"/>
  <c r="BE47" i="7"/>
  <c r="AU63" i="7"/>
  <c r="BE63" i="7"/>
  <c r="AU39" i="7"/>
  <c r="BE39" i="7"/>
  <c r="Q84" i="7"/>
  <c r="Q77" i="7"/>
  <c r="Q85" i="7"/>
  <c r="Q78" i="7"/>
  <c r="Q92" i="7"/>
  <c r="R47" i="7"/>
  <c r="R54" i="7"/>
  <c r="R48" i="7"/>
  <c r="R64" i="7"/>
  <c r="R63" i="7"/>
  <c r="R43" i="7"/>
  <c r="R59" i="7"/>
  <c r="R52" i="7"/>
  <c r="R40" i="7"/>
  <c r="R51" i="7"/>
  <c r="R41" i="7"/>
  <c r="R42" i="7"/>
  <c r="R50" i="7"/>
  <c r="R39" i="7"/>
  <c r="R58" i="7"/>
  <c r="R44" i="7"/>
  <c r="R60" i="7"/>
  <c r="R49" i="7"/>
  <c r="R56" i="7"/>
  <c r="R53" i="7"/>
  <c r="R38" i="7"/>
  <c r="R61" i="7"/>
  <c r="AK10" i="7"/>
  <c r="AL5" i="7"/>
  <c r="R57" i="7"/>
  <c r="R55" i="7"/>
  <c r="R46" i="7"/>
  <c r="R62" i="7"/>
  <c r="R45" i="7"/>
  <c r="Q97" i="7"/>
  <c r="Q75" i="7"/>
  <c r="Q79" i="7"/>
  <c r="Q98" i="7"/>
  <c r="Q95" i="7"/>
  <c r="Q82" i="7"/>
  <c r="Q90" i="7"/>
  <c r="Q74" i="7"/>
  <c r="Q81" i="7"/>
  <c r="Q80" i="7"/>
  <c r="Q86" i="7"/>
  <c r="Q93" i="7"/>
  <c r="Q83" i="7"/>
  <c r="Q94" i="7"/>
  <c r="Q87" i="7"/>
  <c r="Q88" i="7"/>
  <c r="Q91" i="7"/>
  <c r="Q73" i="7"/>
  <c r="Q96" i="7"/>
  <c r="Q72" i="7"/>
  <c r="AU65" i="7"/>
  <c r="Q89" i="7"/>
  <c r="Q76" i="7"/>
  <c r="AV53" i="7"/>
  <c r="BF53" i="7"/>
  <c r="BF62" i="7"/>
  <c r="AV62" i="7"/>
  <c r="AV46" i="7"/>
  <c r="BF46" i="7"/>
  <c r="BF49" i="7"/>
  <c r="AV49" i="7"/>
  <c r="AV51" i="7"/>
  <c r="BF51" i="7"/>
  <c r="BF54" i="7"/>
  <c r="AV54" i="7"/>
  <c r="AV55" i="7"/>
  <c r="BF55" i="7"/>
  <c r="BF60" i="7"/>
  <c r="AV60" i="7"/>
  <c r="AV40" i="7"/>
  <c r="BF40" i="7"/>
  <c r="BF47" i="7"/>
  <c r="AV47" i="7"/>
  <c r="AL7" i="7"/>
  <c r="AV58" i="7"/>
  <c r="BF58" i="7"/>
  <c r="BF59" i="7"/>
  <c r="AV59" i="7"/>
  <c r="AV56" i="7"/>
  <c r="BF56" i="7"/>
  <c r="Q99" i="7"/>
  <c r="BF44" i="7"/>
  <c r="AV44" i="7"/>
  <c r="AV61" i="7"/>
  <c r="BF61" i="7"/>
  <c r="AV39" i="7"/>
  <c r="BF39" i="7"/>
  <c r="AV43" i="7"/>
  <c r="BF43" i="7"/>
  <c r="AV45" i="7"/>
  <c r="BF45" i="7"/>
  <c r="BF42" i="7"/>
  <c r="AV42" i="7"/>
  <c r="BF64" i="7"/>
  <c r="AV64" i="7"/>
  <c r="AV41" i="7"/>
  <c r="BF41" i="7"/>
  <c r="BF48" i="7"/>
  <c r="AV48" i="7"/>
  <c r="AV57" i="7"/>
  <c r="BF57" i="7"/>
  <c r="AV52" i="7"/>
  <c r="BF52" i="7"/>
  <c r="AV38" i="7"/>
  <c r="R65" i="7"/>
  <c r="BF65" i="7"/>
  <c r="BF38" i="7"/>
  <c r="AV50" i="7"/>
  <c r="BF50" i="7"/>
  <c r="AV63" i="7"/>
  <c r="BF63" i="7"/>
  <c r="R98" i="7"/>
  <c r="R78" i="7"/>
  <c r="R83" i="7"/>
  <c r="R84" i="7"/>
  <c r="R88" i="7"/>
  <c r="R86" i="7"/>
  <c r="R76" i="7"/>
  <c r="R77" i="7"/>
  <c r="R81" i="7"/>
  <c r="R89" i="7"/>
  <c r="R82" i="7"/>
  <c r="R95" i="7"/>
  <c r="R92" i="7"/>
  <c r="R94" i="7"/>
  <c r="R80" i="7"/>
  <c r="R93" i="7"/>
  <c r="R97" i="7"/>
  <c r="R91" i="7"/>
  <c r="R73" i="7"/>
  <c r="S43" i="7"/>
  <c r="S45" i="7"/>
  <c r="S52" i="7"/>
  <c r="S47" i="7"/>
  <c r="S56" i="7"/>
  <c r="S40" i="7"/>
  <c r="S59" i="7"/>
  <c r="S62" i="7"/>
  <c r="S64" i="7"/>
  <c r="S55" i="7"/>
  <c r="S61" i="7"/>
  <c r="S49" i="7"/>
  <c r="S42" i="7"/>
  <c r="S63" i="7"/>
  <c r="S57" i="7"/>
  <c r="S53" i="7"/>
  <c r="S48" i="7"/>
  <c r="S44" i="7"/>
  <c r="S39" i="7"/>
  <c r="S38" i="7"/>
  <c r="S46" i="7"/>
  <c r="S60" i="7"/>
  <c r="AL10" i="7"/>
  <c r="AM5" i="7"/>
  <c r="S50" i="7"/>
  <c r="S58" i="7"/>
  <c r="S41" i="7"/>
  <c r="S54" i="7"/>
  <c r="S51" i="7"/>
  <c r="R85" i="7"/>
  <c r="R90" i="7"/>
  <c r="R96" i="7"/>
  <c r="R75" i="7"/>
  <c r="R72" i="7"/>
  <c r="AV65" i="7"/>
  <c r="R79" i="7"/>
  <c r="R74" i="7"/>
  <c r="R87" i="7"/>
  <c r="AW57" i="7"/>
  <c r="BG57" i="7"/>
  <c r="T57" i="7"/>
  <c r="AX57" i="7"/>
  <c r="AW60" i="7"/>
  <c r="BG60" i="7"/>
  <c r="T60" i="7"/>
  <c r="AX60" i="7"/>
  <c r="AW63" i="7"/>
  <c r="BG63" i="7"/>
  <c r="T63" i="7"/>
  <c r="AX63" i="7"/>
  <c r="BG40" i="7"/>
  <c r="AW40" i="7"/>
  <c r="T40" i="7"/>
  <c r="AX40" i="7"/>
  <c r="AM7" i="7"/>
  <c r="BG59" i="7"/>
  <c r="AW59" i="7"/>
  <c r="T59" i="7"/>
  <c r="AX59" i="7"/>
  <c r="AW46" i="7"/>
  <c r="BG46" i="7"/>
  <c r="T46" i="7"/>
  <c r="AX46" i="7"/>
  <c r="AW42" i="7"/>
  <c r="BG42" i="7"/>
  <c r="T42" i="7"/>
  <c r="AX42" i="7"/>
  <c r="BG56" i="7"/>
  <c r="AW56" i="7"/>
  <c r="T56" i="7"/>
  <c r="AX56" i="7"/>
  <c r="BG62" i="7"/>
  <c r="AW62" i="7"/>
  <c r="T62" i="7"/>
  <c r="AX62" i="7"/>
  <c r="AW54" i="7"/>
  <c r="BG54" i="7"/>
  <c r="T54" i="7"/>
  <c r="AX54" i="7"/>
  <c r="BG39" i="7"/>
  <c r="AW39" i="7"/>
  <c r="T39" i="7"/>
  <c r="AX39" i="7"/>
  <c r="BG61" i="7"/>
  <c r="AW61" i="7"/>
  <c r="T61" i="7"/>
  <c r="AX61" i="7"/>
  <c r="BG52" i="7"/>
  <c r="AW52" i="7"/>
  <c r="T52" i="7"/>
  <c r="AX52" i="7"/>
  <c r="R99" i="7"/>
  <c r="BG50" i="7"/>
  <c r="AW50" i="7"/>
  <c r="T50" i="7"/>
  <c r="AX50" i="7"/>
  <c r="BG51" i="7"/>
  <c r="AW51" i="7"/>
  <c r="T51" i="7"/>
  <c r="AX51" i="7"/>
  <c r="AW49" i="7"/>
  <c r="BG49" i="7"/>
  <c r="T49" i="7"/>
  <c r="AX49" i="7"/>
  <c r="AW41" i="7"/>
  <c r="BG41" i="7"/>
  <c r="T41" i="7"/>
  <c r="AX41" i="7"/>
  <c r="AW44" i="7"/>
  <c r="BG44" i="7"/>
  <c r="T44" i="7"/>
  <c r="AX44" i="7"/>
  <c r="BG55" i="7"/>
  <c r="AW55" i="7"/>
  <c r="T55" i="7"/>
  <c r="AX55" i="7"/>
  <c r="BG45" i="7"/>
  <c r="AW45" i="7"/>
  <c r="T45" i="7"/>
  <c r="AX45" i="7"/>
  <c r="AW53" i="7"/>
  <c r="BG53" i="7"/>
  <c r="T53" i="7"/>
  <c r="AX53" i="7"/>
  <c r="S65" i="7"/>
  <c r="BG65" i="7"/>
  <c r="AW38" i="7"/>
  <c r="BG38" i="7"/>
  <c r="T38" i="7"/>
  <c r="BG47" i="7"/>
  <c r="AW47" i="7"/>
  <c r="T47" i="7"/>
  <c r="AX47" i="7"/>
  <c r="BG58" i="7"/>
  <c r="AW58" i="7"/>
  <c r="T58" i="7"/>
  <c r="AX58" i="7"/>
  <c r="BG48" i="7"/>
  <c r="AW48" i="7"/>
  <c r="T48" i="7"/>
  <c r="AX48" i="7"/>
  <c r="AW64" i="7"/>
  <c r="BG64" i="7"/>
  <c r="T64" i="7"/>
  <c r="AX64" i="7"/>
  <c r="AW43" i="7"/>
  <c r="BG43" i="7"/>
  <c r="T43" i="7"/>
  <c r="AX43" i="7"/>
  <c r="BI63" i="7"/>
  <c r="S95" i="7"/>
  <c r="S77" i="7"/>
  <c r="S92" i="7"/>
  <c r="S89" i="7"/>
  <c r="BI50" i="7"/>
  <c r="S76" i="7"/>
  <c r="BI55" i="7"/>
  <c r="BI49" i="7"/>
  <c r="BI61" i="7"/>
  <c r="S96" i="7"/>
  <c r="BI64" i="7"/>
  <c r="BI53" i="7"/>
  <c r="S83" i="7"/>
  <c r="BI62" i="7"/>
  <c r="BI46" i="7"/>
  <c r="AM10" i="7"/>
  <c r="AN5" i="7"/>
  <c r="BI60" i="7"/>
  <c r="AW65" i="7"/>
  <c r="S72" i="7"/>
  <c r="S84" i="7"/>
  <c r="S97" i="7"/>
  <c r="BI58" i="7"/>
  <c r="S87" i="7"/>
  <c r="S94" i="7"/>
  <c r="BI47" i="7"/>
  <c r="S78" i="7"/>
  <c r="S85" i="7"/>
  <c r="BI39" i="7"/>
  <c r="S90" i="7"/>
  <c r="S74" i="7"/>
  <c r="S88" i="7"/>
  <c r="BI42" i="7"/>
  <c r="S82" i="7"/>
  <c r="AX38" i="7"/>
  <c r="AX65" i="7"/>
  <c r="T65" i="7"/>
  <c r="S79" i="7"/>
  <c r="BI51" i="7"/>
  <c r="S86" i="7"/>
  <c r="BI56" i="7"/>
  <c r="S93" i="7"/>
  <c r="BI40" i="7"/>
  <c r="BI57" i="7"/>
  <c r="BI43" i="7"/>
  <c r="S75" i="7"/>
  <c r="S98" i="7"/>
  <c r="S81" i="7"/>
  <c r="BI44" i="7"/>
  <c r="S73" i="7"/>
  <c r="S80" i="7"/>
  <c r="BI48" i="7"/>
  <c r="BI38" i="7"/>
  <c r="BI45" i="7"/>
  <c r="BI41" i="7"/>
  <c r="BI52" i="7"/>
  <c r="BI54" i="7"/>
  <c r="BI59" i="7"/>
  <c r="S91" i="7"/>
  <c r="S99" i="7"/>
  <c r="BI65" i="7"/>
  <c r="AN7" i="7"/>
  <c r="BK48" i="7"/>
  <c r="BK38" i="7"/>
  <c r="BK49" i="7"/>
  <c r="BK47" i="7"/>
  <c r="BK46" i="7"/>
  <c r="BK64" i="7"/>
  <c r="BK53" i="7"/>
  <c r="BK58" i="7"/>
  <c r="BK41" i="7"/>
  <c r="BK40" i="7"/>
  <c r="BK61" i="7"/>
  <c r="BK62" i="7"/>
  <c r="BK52" i="7"/>
  <c r="BK51" i="7"/>
  <c r="BK42" i="7"/>
  <c r="BK45" i="7"/>
  <c r="BK44" i="7"/>
  <c r="K66" i="7"/>
  <c r="F44" i="5"/>
  <c r="BK55" i="7"/>
  <c r="BK57" i="7"/>
  <c r="BK60" i="7"/>
  <c r="BK56" i="7"/>
  <c r="BK63" i="7"/>
  <c r="BK43" i="7"/>
  <c r="BK50" i="7"/>
  <c r="BK39" i="7"/>
  <c r="BK54" i="7"/>
  <c r="BK59" i="7"/>
  <c r="AN10" i="7"/>
  <c r="AO5" i="7"/>
  <c r="AO7" i="7"/>
  <c r="AP5" i="7"/>
  <c r="CA38" i="7"/>
  <c r="CK38" i="7"/>
  <c r="F6" i="32"/>
  <c r="BX58" i="7"/>
  <c r="BW45" i="7"/>
  <c r="BX42" i="7"/>
  <c r="BX50" i="7"/>
  <c r="CH50" i="7"/>
  <c r="C18" i="32"/>
  <c r="BX57" i="7"/>
  <c r="BW52" i="7"/>
  <c r="BX43" i="7"/>
  <c r="BW57" i="7"/>
  <c r="BX40" i="7"/>
  <c r="CH40" i="7"/>
  <c r="C8" i="32"/>
  <c r="BX59" i="7"/>
  <c r="BW61" i="7"/>
  <c r="BX55" i="7"/>
  <c r="BX54" i="7"/>
  <c r="BW59" i="7"/>
  <c r="BX64" i="7"/>
  <c r="BW50" i="7"/>
  <c r="BX48" i="7"/>
  <c r="BW47" i="7"/>
  <c r="BW41" i="7"/>
  <c r="BW54" i="7"/>
  <c r="BX38" i="7"/>
  <c r="CH38" i="7"/>
  <c r="C6" i="32"/>
  <c r="BW46" i="7"/>
  <c r="BX53" i="7"/>
  <c r="BX39" i="7"/>
  <c r="BW43" i="7"/>
  <c r="BX49" i="7"/>
  <c r="BX61" i="7"/>
  <c r="BX44" i="7"/>
  <c r="BX63" i="7"/>
  <c r="BW58" i="7"/>
  <c r="BW39" i="7"/>
  <c r="BW42" i="7"/>
  <c r="BW51" i="7"/>
  <c r="BW49" i="7"/>
  <c r="BW55" i="7"/>
  <c r="BW63" i="7"/>
  <c r="BX45" i="7"/>
  <c r="BW53" i="7"/>
  <c r="BW60" i="7"/>
  <c r="BW62" i="7"/>
  <c r="BW64" i="7"/>
  <c r="BW44" i="7"/>
  <c r="BX62" i="7"/>
  <c r="BW56" i="7"/>
  <c r="BX52" i="7"/>
  <c r="BX51" i="7"/>
  <c r="BW40" i="7"/>
  <c r="BX41" i="7"/>
  <c r="BW38" i="7"/>
  <c r="BX60" i="7"/>
  <c r="BX56" i="7"/>
  <c r="BX46" i="7"/>
  <c r="BX47" i="7"/>
  <c r="BW48" i="7"/>
  <c r="AO10" i="7"/>
  <c r="AP7" i="7"/>
  <c r="K67" i="7"/>
  <c r="CC38" i="7"/>
  <c r="CM38" i="7"/>
  <c r="H6" i="32"/>
  <c r="CA63" i="7"/>
  <c r="CK63" i="7"/>
  <c r="F31" i="32"/>
  <c r="CB38" i="7"/>
  <c r="CL38" i="7"/>
  <c r="G6" i="32"/>
  <c r="CB58" i="7"/>
  <c r="CL58" i="7"/>
  <c r="G26" i="32"/>
  <c r="CC53" i="7"/>
  <c r="CM53" i="7"/>
  <c r="H21" i="32"/>
  <c r="CB39" i="7"/>
  <c r="CL39" i="7"/>
  <c r="G7" i="32"/>
  <c r="CB64" i="7"/>
  <c r="CL64" i="7"/>
  <c r="G32" i="32"/>
  <c r="CB50" i="7"/>
  <c r="CL50" i="7"/>
  <c r="G18" i="32"/>
  <c r="CB65" i="7"/>
  <c r="CC51" i="7"/>
  <c r="CM51" i="7"/>
  <c r="H19" i="32"/>
  <c r="CB42" i="7"/>
  <c r="CL42" i="7"/>
  <c r="G10" i="32"/>
  <c r="CC59" i="7"/>
  <c r="CM59" i="7"/>
  <c r="H27" i="32"/>
  <c r="CB52" i="7"/>
  <c r="CL52" i="7"/>
  <c r="G20" i="32"/>
  <c r="CC65" i="7"/>
  <c r="CA54" i="7"/>
  <c r="CK54" i="7"/>
  <c r="F22" i="32"/>
  <c r="CB46" i="7"/>
  <c r="CL46" i="7"/>
  <c r="G14" i="32"/>
  <c r="CC41" i="7"/>
  <c r="CM41" i="7"/>
  <c r="H9" i="32"/>
  <c r="CC43" i="7"/>
  <c r="CM43" i="7"/>
  <c r="H11" i="32"/>
  <c r="CB49" i="7"/>
  <c r="CL49" i="7"/>
  <c r="G17" i="32"/>
  <c r="CB56" i="7"/>
  <c r="CL56" i="7"/>
  <c r="G24" i="32"/>
  <c r="CC63" i="7"/>
  <c r="CM63" i="7"/>
  <c r="H31" i="32"/>
  <c r="CC46" i="7"/>
  <c r="CM46" i="7"/>
  <c r="H14" i="32"/>
  <c r="CA41" i="7"/>
  <c r="CK41" i="7"/>
  <c r="F9" i="32"/>
  <c r="CB60" i="7"/>
  <c r="CL60" i="7"/>
  <c r="G28" i="32"/>
  <c r="CC58" i="7"/>
  <c r="CM58" i="7"/>
  <c r="H26" i="32"/>
  <c r="CB63" i="7"/>
  <c r="CL63" i="7"/>
  <c r="G31" i="32"/>
  <c r="CC64" i="7"/>
  <c r="CM64" i="7"/>
  <c r="H32" i="32"/>
  <c r="CA58" i="7"/>
  <c r="CK58" i="7"/>
  <c r="F26" i="32"/>
  <c r="CC62" i="7"/>
  <c r="CM62" i="7"/>
  <c r="H30" i="32"/>
  <c r="CC45" i="7"/>
  <c r="CM45" i="7"/>
  <c r="H13" i="32"/>
  <c r="CC61" i="7"/>
  <c r="CM61" i="7"/>
  <c r="H29" i="32"/>
  <c r="CA56" i="7"/>
  <c r="CK56" i="7"/>
  <c r="F24" i="32"/>
  <c r="CB48" i="7"/>
  <c r="CL48" i="7"/>
  <c r="G16" i="32"/>
  <c r="CC56" i="7"/>
  <c r="CM56" i="7"/>
  <c r="H24" i="32"/>
  <c r="CB45" i="7"/>
  <c r="CL45" i="7"/>
  <c r="G13" i="32"/>
  <c r="CA47" i="7"/>
  <c r="CK47" i="7"/>
  <c r="F15" i="32"/>
  <c r="CC49" i="7"/>
  <c r="CM49" i="7"/>
  <c r="H17" i="32"/>
  <c r="CA53" i="7"/>
  <c r="CK53" i="7"/>
  <c r="F21" i="32"/>
  <c r="CA50" i="7"/>
  <c r="CK50" i="7"/>
  <c r="F18" i="32"/>
  <c r="CC40" i="7"/>
  <c r="CM40" i="7"/>
  <c r="H8" i="32"/>
  <c r="CC57" i="7"/>
  <c r="CM57" i="7"/>
  <c r="H25" i="32"/>
  <c r="CA44" i="7"/>
  <c r="CK44" i="7"/>
  <c r="F12" i="32"/>
  <c r="CC52" i="7"/>
  <c r="CM52" i="7"/>
  <c r="H20" i="32"/>
  <c r="CA46" i="7"/>
  <c r="CK46" i="7"/>
  <c r="F14" i="32"/>
  <c r="CC48" i="7"/>
  <c r="CM48" i="7"/>
  <c r="H16" i="32"/>
  <c r="CA49" i="7"/>
  <c r="CK49" i="7"/>
  <c r="F17" i="32"/>
  <c r="CB51" i="7"/>
  <c r="CL51" i="7"/>
  <c r="G19" i="32"/>
  <c r="CC44" i="7"/>
  <c r="CM44" i="7"/>
  <c r="H12" i="32"/>
  <c r="CA42" i="7"/>
  <c r="CK42" i="7"/>
  <c r="F10" i="32"/>
  <c r="CA61" i="7"/>
  <c r="CK61" i="7"/>
  <c r="F29" i="32"/>
  <c r="CB61" i="7"/>
  <c r="CL61" i="7"/>
  <c r="G29" i="32"/>
  <c r="CA45" i="7"/>
  <c r="CK45" i="7"/>
  <c r="F13" i="32"/>
  <c r="CB43" i="7"/>
  <c r="CL43" i="7"/>
  <c r="G11" i="32"/>
  <c r="CA48" i="7"/>
  <c r="CK48" i="7"/>
  <c r="F16" i="32"/>
  <c r="CB59" i="7"/>
  <c r="CL59" i="7"/>
  <c r="G27" i="32"/>
  <c r="CA43" i="7"/>
  <c r="CK43" i="7"/>
  <c r="F11" i="32"/>
  <c r="CC55" i="7"/>
  <c r="CM55" i="7"/>
  <c r="H23" i="32"/>
  <c r="CA40" i="7"/>
  <c r="CK40" i="7"/>
  <c r="F8" i="32"/>
  <c r="CA65" i="7"/>
  <c r="CC47" i="7"/>
  <c r="CM47" i="7"/>
  <c r="H15" i="32"/>
  <c r="CB44" i="7"/>
  <c r="CL44" i="7"/>
  <c r="G12" i="32"/>
  <c r="CB54" i="7"/>
  <c r="CL54" i="7"/>
  <c r="G22" i="32"/>
  <c r="CB55" i="7"/>
  <c r="CL55" i="7"/>
  <c r="G23" i="32"/>
  <c r="CB40" i="7"/>
  <c r="CL40" i="7"/>
  <c r="G8" i="32"/>
  <c r="CA39" i="7"/>
  <c r="CK39" i="7"/>
  <c r="F7" i="32"/>
  <c r="CC39" i="7"/>
  <c r="CM39" i="7"/>
  <c r="H7" i="32"/>
  <c r="CA60" i="7"/>
  <c r="CK60" i="7"/>
  <c r="F28" i="32"/>
  <c r="CB62" i="7"/>
  <c r="CL62" i="7"/>
  <c r="G30" i="32"/>
  <c r="CA59" i="7"/>
  <c r="CK59" i="7"/>
  <c r="F27" i="32"/>
  <c r="CB47" i="7"/>
  <c r="CL47" i="7"/>
  <c r="G15" i="32"/>
  <c r="CA55" i="7"/>
  <c r="CK55" i="7"/>
  <c r="F23" i="32"/>
  <c r="CB53" i="7"/>
  <c r="CL53" i="7"/>
  <c r="G21" i="32"/>
  <c r="CA62" i="7"/>
  <c r="CK62" i="7"/>
  <c r="F30" i="32"/>
  <c r="CC50" i="7"/>
  <c r="CM50" i="7"/>
  <c r="H18" i="32"/>
  <c r="CB57" i="7"/>
  <c r="CL57" i="7"/>
  <c r="G25" i="32"/>
  <c r="CA51" i="7"/>
  <c r="CK51" i="7"/>
  <c r="F19" i="32"/>
  <c r="CC54" i="7"/>
  <c r="CM54" i="7"/>
  <c r="H22" i="32"/>
  <c r="CB41" i="7"/>
  <c r="CL41" i="7"/>
  <c r="G9" i="32"/>
  <c r="CA57" i="7"/>
  <c r="CK57" i="7"/>
  <c r="F25" i="32"/>
  <c r="CC60" i="7"/>
  <c r="CM60" i="7"/>
  <c r="H28" i="32"/>
  <c r="CA52" i="7"/>
  <c r="CK52" i="7"/>
  <c r="F20" i="32"/>
  <c r="CC42" i="7"/>
  <c r="CM42" i="7"/>
  <c r="H10" i="32"/>
  <c r="CA64" i="7"/>
  <c r="CK64" i="7"/>
  <c r="F32" i="32"/>
  <c r="CG41" i="7"/>
  <c r="B9" i="32"/>
  <c r="CG49" i="7"/>
  <c r="B17" i="32"/>
  <c r="CG42" i="7"/>
  <c r="B10" i="32"/>
  <c r="CG57" i="7"/>
  <c r="B25" i="32"/>
  <c r="CG40" i="7"/>
  <c r="B8" i="32"/>
  <c r="N81" i="7"/>
  <c r="T81" i="7"/>
  <c r="CH47" i="7"/>
  <c r="C15" i="32"/>
  <c r="N73" i="7"/>
  <c r="T73" i="7"/>
  <c r="CH39" i="7"/>
  <c r="C7" i="32"/>
  <c r="N94" i="7"/>
  <c r="T94" i="7"/>
  <c r="CH60" i="7"/>
  <c r="C28" i="32"/>
  <c r="N90" i="7"/>
  <c r="T90" i="7"/>
  <c r="CH56" i="7"/>
  <c r="C24" i="32"/>
  <c r="N95" i="7"/>
  <c r="T95" i="7"/>
  <c r="CH61" i="7"/>
  <c r="C29" i="32"/>
  <c r="N85" i="7"/>
  <c r="T85" i="7"/>
  <c r="CH51" i="7"/>
  <c r="C19" i="32"/>
  <c r="N76" i="7"/>
  <c r="T76" i="7"/>
  <c r="CH42" i="7"/>
  <c r="C10" i="32"/>
  <c r="N75" i="7"/>
  <c r="T75" i="7"/>
  <c r="CH41" i="7"/>
  <c r="C9" i="32"/>
  <c r="N96" i="7"/>
  <c r="T96" i="7"/>
  <c r="CH62" i="7"/>
  <c r="C30" i="32"/>
  <c r="N88" i="7"/>
  <c r="T88" i="7"/>
  <c r="CH54" i="7"/>
  <c r="C22" i="32"/>
  <c r="N92" i="7"/>
  <c r="T92" i="7"/>
  <c r="CH58" i="7"/>
  <c r="C26" i="32"/>
  <c r="N78" i="7"/>
  <c r="T78" i="7"/>
  <c r="CH44" i="7"/>
  <c r="C12" i="32"/>
  <c r="N82" i="7"/>
  <c r="T82" i="7"/>
  <c r="CH48" i="7"/>
  <c r="C16" i="32"/>
  <c r="N87" i="7"/>
  <c r="T87" i="7"/>
  <c r="CH53" i="7"/>
  <c r="C21" i="32"/>
  <c r="N79" i="7"/>
  <c r="T79" i="7"/>
  <c r="CH45" i="7"/>
  <c r="C13" i="32"/>
  <c r="N77" i="7"/>
  <c r="T77" i="7"/>
  <c r="CH43" i="7"/>
  <c r="C11" i="32"/>
  <c r="N83" i="7"/>
  <c r="T83" i="7"/>
  <c r="CH49" i="7"/>
  <c r="C17" i="32"/>
  <c r="N91" i="7"/>
  <c r="T91" i="7"/>
  <c r="CH57" i="7"/>
  <c r="C25" i="32"/>
  <c r="N93" i="7"/>
  <c r="T93" i="7"/>
  <c r="CH59" i="7"/>
  <c r="C27" i="32"/>
  <c r="N97" i="7"/>
  <c r="T97" i="7"/>
  <c r="CH63" i="7"/>
  <c r="C31" i="32"/>
  <c r="N86" i="7"/>
  <c r="T86" i="7"/>
  <c r="CH52" i="7"/>
  <c r="C20" i="32"/>
  <c r="N80" i="7"/>
  <c r="T80" i="7"/>
  <c r="CH46" i="7"/>
  <c r="C14" i="32"/>
  <c r="N98" i="7"/>
  <c r="T98" i="7"/>
  <c r="CH64" i="7"/>
  <c r="C32" i="32"/>
  <c r="N89" i="7"/>
  <c r="T89" i="7"/>
  <c r="CH55" i="7"/>
  <c r="C23" i="32"/>
  <c r="AG40" i="7"/>
  <c r="BA40" i="7"/>
  <c r="AG60" i="7"/>
  <c r="BA60" i="7"/>
  <c r="CG60" i="7"/>
  <c r="B28" i="32"/>
  <c r="AG57" i="7"/>
  <c r="BA57" i="7"/>
  <c r="AG47" i="7"/>
  <c r="BA47" i="7"/>
  <c r="CG47" i="7"/>
  <c r="B15" i="32"/>
  <c r="AG63" i="7"/>
  <c r="BA63" i="7"/>
  <c r="CG63" i="7"/>
  <c r="B31" i="32"/>
  <c r="AG49" i="7"/>
  <c r="BA49" i="7"/>
  <c r="AG53" i="7"/>
  <c r="BA53" i="7"/>
  <c r="CG53" i="7"/>
  <c r="B21" i="32"/>
  <c r="AG39" i="7"/>
  <c r="BA39" i="7"/>
  <c r="CG39" i="7"/>
  <c r="B7" i="32"/>
  <c r="AG44" i="7"/>
  <c r="BA44" i="7"/>
  <c r="CG44" i="7"/>
  <c r="B12" i="32"/>
  <c r="AG59" i="7"/>
  <c r="BA59" i="7"/>
  <c r="CG59" i="7"/>
  <c r="B27" i="32"/>
  <c r="AG64" i="7"/>
  <c r="BA64" i="7"/>
  <c r="CG64" i="7"/>
  <c r="B32" i="32"/>
  <c r="AG55" i="7"/>
  <c r="BA55" i="7"/>
  <c r="CG55" i="7"/>
  <c r="B23" i="32"/>
  <c r="AG50" i="7"/>
  <c r="BA50" i="7"/>
  <c r="CG50" i="7"/>
  <c r="B18" i="32"/>
  <c r="AG54" i="7"/>
  <c r="BA54" i="7"/>
  <c r="CG54" i="7"/>
  <c r="B22" i="32"/>
  <c r="AG51" i="7"/>
  <c r="BA51" i="7"/>
  <c r="CG51" i="7"/>
  <c r="B19" i="32"/>
  <c r="AG48" i="7"/>
  <c r="BA48" i="7"/>
  <c r="CG48" i="7"/>
  <c r="B16" i="32"/>
  <c r="AG46" i="7"/>
  <c r="BA46" i="7"/>
  <c r="CG46" i="7"/>
  <c r="B14" i="32"/>
  <c r="AG58" i="7"/>
  <c r="BA58" i="7"/>
  <c r="CG58" i="7"/>
  <c r="B26" i="32"/>
  <c r="AG42" i="7"/>
  <c r="BA42" i="7"/>
  <c r="AG45" i="7"/>
  <c r="BA45" i="7"/>
  <c r="CG45" i="7"/>
  <c r="B13" i="32"/>
  <c r="AG62" i="7"/>
  <c r="BA62" i="7"/>
  <c r="CG62" i="7"/>
  <c r="B30" i="32"/>
  <c r="AG43" i="7"/>
  <c r="BA43" i="7"/>
  <c r="CG43" i="7"/>
  <c r="B11" i="32"/>
  <c r="AG61" i="7"/>
  <c r="BA61" i="7"/>
  <c r="CG61" i="7"/>
  <c r="B29" i="32"/>
  <c r="AG41" i="7"/>
  <c r="BA41" i="7"/>
  <c r="AG56" i="7"/>
  <c r="BA56" i="7"/>
  <c r="CG56" i="7"/>
  <c r="B24" i="32"/>
  <c r="AG52" i="7"/>
  <c r="BA52" i="7"/>
  <c r="CG52" i="7"/>
  <c r="B20" i="32"/>
  <c r="N84" i="7"/>
  <c r="T84" i="7"/>
  <c r="N72" i="7"/>
  <c r="T72" i="7"/>
  <c r="N74" i="7"/>
  <c r="T74" i="7"/>
  <c r="Y82" i="7"/>
  <c r="AJ113" i="7"/>
  <c r="AT113" i="7"/>
  <c r="BD113" i="7"/>
  <c r="Y92" i="7"/>
  <c r="BD123" i="7"/>
  <c r="AJ123" i="7"/>
  <c r="AT123" i="7"/>
  <c r="Y83" i="7"/>
  <c r="BD114" i="7"/>
  <c r="AT114" i="7"/>
  <c r="AJ114" i="7"/>
  <c r="Y78" i="7"/>
  <c r="AJ109" i="7"/>
  <c r="BD109" i="7"/>
  <c r="AT109" i="7"/>
  <c r="Y81" i="7"/>
  <c r="BD112" i="7"/>
  <c r="AJ112" i="7"/>
  <c r="AT112" i="7"/>
  <c r="Y89" i="7"/>
  <c r="AJ120" i="7"/>
  <c r="AT120" i="7"/>
  <c r="BD120" i="7"/>
  <c r="Y75" i="7"/>
  <c r="AJ106" i="7"/>
  <c r="BD106" i="7"/>
  <c r="AT106" i="7"/>
  <c r="Y76" i="7"/>
  <c r="AJ107" i="7"/>
  <c r="BD107" i="7"/>
  <c r="AT107" i="7"/>
  <c r="Y91" i="7"/>
  <c r="BD122" i="7"/>
  <c r="AJ122" i="7"/>
  <c r="AT122" i="7"/>
  <c r="Y74" i="7"/>
  <c r="BD105" i="7"/>
  <c r="AJ105" i="7"/>
  <c r="AT105" i="7"/>
  <c r="Y94" i="7"/>
  <c r="AT125" i="7"/>
  <c r="AJ125" i="7"/>
  <c r="BD125" i="7"/>
  <c r="Y97" i="7"/>
  <c r="AJ128" i="7"/>
  <c r="AT128" i="7"/>
  <c r="BD128" i="7"/>
  <c r="BX65" i="7"/>
  <c r="Y72" i="7"/>
  <c r="AJ103" i="7"/>
  <c r="BD103" i="7"/>
  <c r="Y84" i="7"/>
  <c r="BD115" i="7"/>
  <c r="AT115" i="7"/>
  <c r="AJ115" i="7"/>
  <c r="Y90" i="7"/>
  <c r="AJ121" i="7"/>
  <c r="BD121" i="7"/>
  <c r="AT121" i="7"/>
  <c r="Y98" i="7"/>
  <c r="AT129" i="7"/>
  <c r="BD129" i="7"/>
  <c r="AJ129" i="7"/>
  <c r="Y95" i="7"/>
  <c r="AJ126" i="7"/>
  <c r="BD126" i="7"/>
  <c r="AT126" i="7"/>
  <c r="Y93" i="7"/>
  <c r="BD124" i="7"/>
  <c r="AJ124" i="7"/>
  <c r="AT124" i="7"/>
  <c r="Y88" i="7"/>
  <c r="AJ119" i="7"/>
  <c r="BD119" i="7"/>
  <c r="AT119" i="7"/>
  <c r="Y85" i="7"/>
  <c r="AT116" i="7"/>
  <c r="BD116" i="7"/>
  <c r="AJ116" i="7"/>
  <c r="Y96" i="7"/>
  <c r="AT127" i="7"/>
  <c r="AJ127" i="7"/>
  <c r="BD127" i="7"/>
  <c r="Y80" i="7"/>
  <c r="BD111" i="7"/>
  <c r="AJ111" i="7"/>
  <c r="AT111" i="7"/>
  <c r="Y77" i="7"/>
  <c r="BD108" i="7"/>
  <c r="AJ108" i="7"/>
  <c r="AT108" i="7"/>
  <c r="Y73" i="7"/>
  <c r="AJ104" i="7"/>
  <c r="AT104" i="7"/>
  <c r="BD104" i="7"/>
  <c r="Y79" i="7"/>
  <c r="AJ110" i="7"/>
  <c r="AT110" i="7"/>
  <c r="BD110" i="7"/>
  <c r="Y87" i="7"/>
  <c r="AT118" i="7"/>
  <c r="AJ118" i="7"/>
  <c r="BD118" i="7"/>
  <c r="Y86" i="7"/>
  <c r="BD117" i="7"/>
  <c r="AT117" i="7"/>
  <c r="AJ117" i="7"/>
  <c r="BW65" i="7"/>
  <c r="AD76" i="7"/>
  <c r="AO107" i="7"/>
  <c r="BI107" i="7"/>
  <c r="AY107" i="7"/>
  <c r="AD81" i="7"/>
  <c r="AO112" i="7"/>
  <c r="BI112" i="7"/>
  <c r="AY112" i="7"/>
  <c r="CD62" i="7"/>
  <c r="X96" i="7"/>
  <c r="BC127" i="7"/>
  <c r="AI127" i="7"/>
  <c r="AD98" i="7"/>
  <c r="AY129" i="7"/>
  <c r="BI129" i="7"/>
  <c r="AO129" i="7"/>
  <c r="BC110" i="7"/>
  <c r="AI110" i="7"/>
  <c r="CD45" i="7"/>
  <c r="X79" i="7"/>
  <c r="AB96" i="7"/>
  <c r="AM127" i="7"/>
  <c r="BG127" i="7"/>
  <c r="AW127" i="7"/>
  <c r="AB79" i="7"/>
  <c r="AW110" i="7"/>
  <c r="AM110" i="7"/>
  <c r="BG110" i="7"/>
  <c r="CD43" i="7"/>
  <c r="X77" i="7"/>
  <c r="AI108" i="7"/>
  <c r="BC108" i="7"/>
  <c r="AC97" i="7"/>
  <c r="AX128" i="7"/>
  <c r="AN128" i="7"/>
  <c r="BH128" i="7"/>
  <c r="AC90" i="7"/>
  <c r="AX121" i="7"/>
  <c r="BH121" i="7"/>
  <c r="AN121" i="7"/>
  <c r="AI119" i="7"/>
  <c r="BC119" i="7"/>
  <c r="X88" i="7"/>
  <c r="CD54" i="7"/>
  <c r="X97" i="7"/>
  <c r="CD63" i="7"/>
  <c r="BC128" i="7"/>
  <c r="AI128" i="7"/>
  <c r="BC123" i="7"/>
  <c r="X92" i="7"/>
  <c r="AI123" i="7"/>
  <c r="CD58" i="7"/>
  <c r="AD83" i="7"/>
  <c r="AO114" i="7"/>
  <c r="BI114" i="7"/>
  <c r="AY114" i="7"/>
  <c r="AC83" i="7"/>
  <c r="BH114" i="7"/>
  <c r="AN114" i="7"/>
  <c r="AX114" i="7"/>
  <c r="AD91" i="7"/>
  <c r="AO122" i="7"/>
  <c r="BI122" i="7"/>
  <c r="AY122" i="7"/>
  <c r="AD84" i="7"/>
  <c r="BI115" i="7"/>
  <c r="AO115" i="7"/>
  <c r="AY115" i="7"/>
  <c r="X78" i="7"/>
  <c r="BC109" i="7"/>
  <c r="AI109" i="7"/>
  <c r="CD44" i="7"/>
  <c r="X83" i="7"/>
  <c r="BC114" i="7"/>
  <c r="AI114" i="7"/>
  <c r="CD49" i="7"/>
  <c r="AD99" i="7"/>
  <c r="AY130" i="7"/>
  <c r="CM65" i="7"/>
  <c r="H33" i="32"/>
  <c r="BI130" i="7"/>
  <c r="AO130" i="7"/>
  <c r="AB86" i="7"/>
  <c r="AM117" i="7"/>
  <c r="BG117" i="7"/>
  <c r="AW117" i="7"/>
  <c r="X94" i="7"/>
  <c r="CD60" i="7"/>
  <c r="BC125" i="7"/>
  <c r="AI125" i="7"/>
  <c r="X81" i="7"/>
  <c r="AI112" i="7"/>
  <c r="BC112" i="7"/>
  <c r="CD47" i="7"/>
  <c r="X75" i="7"/>
  <c r="AI106" i="7"/>
  <c r="BC106" i="7"/>
  <c r="CD41" i="7"/>
  <c r="AC86" i="7"/>
  <c r="AX117" i="7"/>
  <c r="BH117" i="7"/>
  <c r="AN117" i="7"/>
  <c r="AD94" i="7"/>
  <c r="AY125" i="7"/>
  <c r="AO125" i="7"/>
  <c r="BI125" i="7"/>
  <c r="AC95" i="7"/>
  <c r="BH126" i="7"/>
  <c r="AN126" i="7"/>
  <c r="AX126" i="7"/>
  <c r="AB90" i="7"/>
  <c r="BG121" i="7"/>
  <c r="AM121" i="7"/>
  <c r="AW121" i="7"/>
  <c r="AD93" i="7"/>
  <c r="AY124" i="7"/>
  <c r="BI124" i="7"/>
  <c r="AO124" i="7"/>
  <c r="AC73" i="7"/>
  <c r="AN104" i="7"/>
  <c r="AX104" i="7"/>
  <c r="BH104" i="7"/>
  <c r="AB91" i="7"/>
  <c r="AM122" i="7"/>
  <c r="AW122" i="7"/>
  <c r="BG122" i="7"/>
  <c r="AB74" i="7"/>
  <c r="AW105" i="7"/>
  <c r="BG105" i="7"/>
  <c r="AM105" i="7"/>
  <c r="AB95" i="7"/>
  <c r="AM126" i="7"/>
  <c r="AW126" i="7"/>
  <c r="BG126" i="7"/>
  <c r="AD95" i="7"/>
  <c r="AY126" i="7"/>
  <c r="AO126" i="7"/>
  <c r="BI126" i="7"/>
  <c r="AC81" i="7"/>
  <c r="AX112" i="7"/>
  <c r="AN112" i="7"/>
  <c r="BH112" i="7"/>
  <c r="AB94" i="7"/>
  <c r="AM125" i="7"/>
  <c r="BG125" i="7"/>
  <c r="AW125" i="7"/>
  <c r="AC77" i="7"/>
  <c r="AX108" i="7"/>
  <c r="AN108" i="7"/>
  <c r="BH108" i="7"/>
  <c r="X87" i="7"/>
  <c r="CD53" i="7"/>
  <c r="AI118" i="7"/>
  <c r="BC118" i="7"/>
  <c r="AD97" i="7"/>
  <c r="BI128" i="7"/>
  <c r="AO128" i="7"/>
  <c r="AY128" i="7"/>
  <c r="AC72" i="7"/>
  <c r="AN103" i="7"/>
  <c r="AX103" i="7"/>
  <c r="BH103" i="7"/>
  <c r="AD73" i="7"/>
  <c r="BI104" i="7"/>
  <c r="AO104" i="7"/>
  <c r="AY104" i="7"/>
  <c r="X89" i="7"/>
  <c r="CD55" i="7"/>
  <c r="BC120" i="7"/>
  <c r="AI120" i="7"/>
  <c r="AC98" i="7"/>
  <c r="AN129" i="7"/>
  <c r="AX129" i="7"/>
  <c r="BH129" i="7"/>
  <c r="AC87" i="7"/>
  <c r="BH118" i="7"/>
  <c r="AN118" i="7"/>
  <c r="AX118" i="7"/>
  <c r="AB99" i="7"/>
  <c r="CK65" i="7"/>
  <c r="F33" i="32"/>
  <c r="AW130" i="7"/>
  <c r="BG130" i="7"/>
  <c r="AM130" i="7"/>
  <c r="AB78" i="7"/>
  <c r="AM109" i="7"/>
  <c r="BG109" i="7"/>
  <c r="AW109" i="7"/>
  <c r="AD92" i="7"/>
  <c r="AY123" i="7"/>
  <c r="AO123" i="7"/>
  <c r="BI123" i="7"/>
  <c r="AB97" i="7"/>
  <c r="AW128" i="7"/>
  <c r="AM128" i="7"/>
  <c r="BG128" i="7"/>
  <c r="AB89" i="7"/>
  <c r="AM120" i="7"/>
  <c r="BG120" i="7"/>
  <c r="AW120" i="7"/>
  <c r="AB73" i="7"/>
  <c r="AW104" i="7"/>
  <c r="BG104" i="7"/>
  <c r="AM104" i="7"/>
  <c r="AB83" i="7"/>
  <c r="AW114" i="7"/>
  <c r="BG114" i="7"/>
  <c r="AM114" i="7"/>
  <c r="AB81" i="7"/>
  <c r="AM112" i="7"/>
  <c r="BG112" i="7"/>
  <c r="AW112" i="7"/>
  <c r="X80" i="7"/>
  <c r="AI111" i="7"/>
  <c r="CD46" i="7"/>
  <c r="BC111" i="7"/>
  <c r="AD77" i="7"/>
  <c r="AO108" i="7"/>
  <c r="AY108" i="7"/>
  <c r="BI108" i="7"/>
  <c r="X73" i="7"/>
  <c r="BC104" i="7"/>
  <c r="AI104" i="7"/>
  <c r="CD39" i="7"/>
  <c r="X74" i="7"/>
  <c r="CD40" i="7"/>
  <c r="AI105" i="7"/>
  <c r="BC105" i="7"/>
  <c r="AI113" i="7"/>
  <c r="X82" i="7"/>
  <c r="BC113" i="7"/>
  <c r="CD48" i="7"/>
  <c r="AC75" i="7"/>
  <c r="BH106" i="7"/>
  <c r="AX106" i="7"/>
  <c r="AN106" i="7"/>
  <c r="AC74" i="7"/>
  <c r="AX105" i="7"/>
  <c r="AN105" i="7"/>
  <c r="BH105" i="7"/>
  <c r="AD89" i="7"/>
  <c r="AY120" i="7"/>
  <c r="BI120" i="7"/>
  <c r="AO120" i="7"/>
  <c r="AB76" i="7"/>
  <c r="AW107" i="7"/>
  <c r="AM107" i="7"/>
  <c r="BG107" i="7"/>
  <c r="AD82" i="7"/>
  <c r="AO113" i="7"/>
  <c r="BI113" i="7"/>
  <c r="AY113" i="7"/>
  <c r="BC126" i="7"/>
  <c r="CD61" i="7"/>
  <c r="X95" i="7"/>
  <c r="AI126" i="7"/>
  <c r="AC79" i="7"/>
  <c r="AN110" i="7"/>
  <c r="BH110" i="7"/>
  <c r="AX110" i="7"/>
  <c r="AD79" i="7"/>
  <c r="AO110" i="7"/>
  <c r="BI110" i="7"/>
  <c r="AY110" i="7"/>
  <c r="X93" i="7"/>
  <c r="BC124" i="7"/>
  <c r="AI124" i="7"/>
  <c r="CD59" i="7"/>
  <c r="AD75" i="7"/>
  <c r="AO106" i="7"/>
  <c r="BI106" i="7"/>
  <c r="AY106" i="7"/>
  <c r="AC76" i="7"/>
  <c r="BH107" i="7"/>
  <c r="AN107" i="7"/>
  <c r="AX107" i="7"/>
  <c r="BC116" i="7"/>
  <c r="CD51" i="7"/>
  <c r="X85" i="7"/>
  <c r="AI116" i="7"/>
  <c r="X91" i="7"/>
  <c r="CD57" i="7"/>
  <c r="BC122" i="7"/>
  <c r="AI122" i="7"/>
  <c r="AD88" i="7"/>
  <c r="AY119" i="7"/>
  <c r="BI119" i="7"/>
  <c r="AO119" i="7"/>
  <c r="X98" i="7"/>
  <c r="AI129" i="7"/>
  <c r="BC129" i="7"/>
  <c r="CD64" i="7"/>
  <c r="AC89" i="7"/>
  <c r="AN120" i="7"/>
  <c r="AX120" i="7"/>
  <c r="BH120" i="7"/>
  <c r="AB77" i="7"/>
  <c r="BG108" i="7"/>
  <c r="AW108" i="7"/>
  <c r="AM108" i="7"/>
  <c r="AD78" i="7"/>
  <c r="AO109" i="7"/>
  <c r="AY109" i="7"/>
  <c r="BI109" i="7"/>
  <c r="AB80" i="7"/>
  <c r="AW111" i="7"/>
  <c r="AM111" i="7"/>
  <c r="BG111" i="7"/>
  <c r="AD74" i="7"/>
  <c r="AO105" i="7"/>
  <c r="AY105" i="7"/>
  <c r="BI105" i="7"/>
  <c r="AD90" i="7"/>
  <c r="BI121" i="7"/>
  <c r="AO121" i="7"/>
  <c r="AY121" i="7"/>
  <c r="AB72" i="7"/>
  <c r="AM103" i="7"/>
  <c r="BG103" i="7"/>
  <c r="AW103" i="7"/>
  <c r="AC94" i="7"/>
  <c r="BH125" i="7"/>
  <c r="AN125" i="7"/>
  <c r="AX125" i="7"/>
  <c r="AC80" i="7"/>
  <c r="AN111" i="7"/>
  <c r="AX111" i="7"/>
  <c r="BH111" i="7"/>
  <c r="AD85" i="7"/>
  <c r="AY116" i="7"/>
  <c r="AO116" i="7"/>
  <c r="BI116" i="7"/>
  <c r="AD87" i="7"/>
  <c r="AY118" i="7"/>
  <c r="AO118" i="7"/>
  <c r="BI118" i="7"/>
  <c r="AD72" i="7"/>
  <c r="AY103" i="7"/>
  <c r="AO103" i="7"/>
  <c r="BI103" i="7"/>
  <c r="AB98" i="7"/>
  <c r="BG129" i="7"/>
  <c r="AW129" i="7"/>
  <c r="AM129" i="7"/>
  <c r="AB85" i="7"/>
  <c r="AW116" i="7"/>
  <c r="BG116" i="7"/>
  <c r="AM116" i="7"/>
  <c r="AB93" i="7"/>
  <c r="AM124" i="7"/>
  <c r="BG124" i="7"/>
  <c r="AW124" i="7"/>
  <c r="AC88" i="7"/>
  <c r="AX119" i="7"/>
  <c r="BH119" i="7"/>
  <c r="AN119" i="7"/>
  <c r="AC93" i="7"/>
  <c r="AN124" i="7"/>
  <c r="BH124" i="7"/>
  <c r="AX124" i="7"/>
  <c r="CD38" i="7"/>
  <c r="X72" i="7"/>
  <c r="BC103" i="7"/>
  <c r="AI103" i="7"/>
  <c r="AB84" i="7"/>
  <c r="AW115" i="7"/>
  <c r="AM115" i="7"/>
  <c r="BG115" i="7"/>
  <c r="X84" i="7"/>
  <c r="BC115" i="7"/>
  <c r="AI115" i="7"/>
  <c r="CD50" i="7"/>
  <c r="AD96" i="7"/>
  <c r="BI127" i="7"/>
  <c r="AO127" i="7"/>
  <c r="AY127" i="7"/>
  <c r="AB75" i="7"/>
  <c r="AW106" i="7"/>
  <c r="AM106" i="7"/>
  <c r="BG106" i="7"/>
  <c r="BC107" i="7"/>
  <c r="X76" i="7"/>
  <c r="AI107" i="7"/>
  <c r="CD42" i="7"/>
  <c r="AC99" i="7"/>
  <c r="G33" i="32"/>
  <c r="AX130" i="7"/>
  <c r="CL65" i="7"/>
  <c r="BH130" i="7"/>
  <c r="AN130" i="7"/>
  <c r="BC121" i="7"/>
  <c r="AI121" i="7"/>
  <c r="X90" i="7"/>
  <c r="CD56" i="7"/>
  <c r="X86" i="7"/>
  <c r="AI117" i="7"/>
  <c r="BC117" i="7"/>
  <c r="CD52" i="7"/>
  <c r="AC91" i="7"/>
  <c r="AN122" i="7"/>
  <c r="AX122" i="7"/>
  <c r="BH122" i="7"/>
  <c r="AC96" i="7"/>
  <c r="BH127" i="7"/>
  <c r="AX127" i="7"/>
  <c r="AN127" i="7"/>
  <c r="AC78" i="7"/>
  <c r="BH109" i="7"/>
  <c r="AX109" i="7"/>
  <c r="AN109" i="7"/>
  <c r="AB82" i="7"/>
  <c r="AM113" i="7"/>
  <c r="AW113" i="7"/>
  <c r="BG113" i="7"/>
  <c r="AC85" i="7"/>
  <c r="AN116" i="7"/>
  <c r="BH116" i="7"/>
  <c r="AX116" i="7"/>
  <c r="AD86" i="7"/>
  <c r="AY117" i="7"/>
  <c r="BI117" i="7"/>
  <c r="AO117" i="7"/>
  <c r="AB87" i="7"/>
  <c r="BG118" i="7"/>
  <c r="AM118" i="7"/>
  <c r="AW118" i="7"/>
  <c r="AC82" i="7"/>
  <c r="AX113" i="7"/>
  <c r="AN113" i="7"/>
  <c r="BH113" i="7"/>
  <c r="AB92" i="7"/>
  <c r="BG123" i="7"/>
  <c r="AM123" i="7"/>
  <c r="AW123" i="7"/>
  <c r="AD80" i="7"/>
  <c r="BI111" i="7"/>
  <c r="AO111" i="7"/>
  <c r="AY111" i="7"/>
  <c r="AB88" i="7"/>
  <c r="AW119" i="7"/>
  <c r="BG119" i="7"/>
  <c r="AM119" i="7"/>
  <c r="AC84" i="7"/>
  <c r="AX115" i="7"/>
  <c r="AN115" i="7"/>
  <c r="BH115" i="7"/>
  <c r="AC92" i="7"/>
  <c r="AN123" i="7"/>
  <c r="AX123" i="7"/>
  <c r="BH123" i="7"/>
  <c r="C73" i="7"/>
  <c r="BM39" i="7"/>
  <c r="BM48" i="7"/>
  <c r="C82" i="7"/>
  <c r="C89" i="7"/>
  <c r="BM55" i="7"/>
  <c r="C81" i="7"/>
  <c r="BM47" i="7"/>
  <c r="BM61" i="7"/>
  <c r="C95" i="7"/>
  <c r="C76" i="7"/>
  <c r="BM42" i="7"/>
  <c r="C85" i="7"/>
  <c r="BM51" i="7"/>
  <c r="BM64" i="7"/>
  <c r="C98" i="7"/>
  <c r="BM53" i="7"/>
  <c r="C87" i="7"/>
  <c r="BM57" i="7"/>
  <c r="C91" i="7"/>
  <c r="C79" i="7"/>
  <c r="BM45" i="7"/>
  <c r="BM52" i="7"/>
  <c r="C86" i="7"/>
  <c r="C77" i="7"/>
  <c r="BM43" i="7"/>
  <c r="BM58" i="7"/>
  <c r="C92" i="7"/>
  <c r="BM54" i="7"/>
  <c r="C88" i="7"/>
  <c r="C93" i="7"/>
  <c r="BM59" i="7"/>
  <c r="BM49" i="7"/>
  <c r="C83" i="7"/>
  <c r="BM60" i="7"/>
  <c r="C94" i="7"/>
  <c r="C90" i="7"/>
  <c r="BM56" i="7"/>
  <c r="C96" i="7"/>
  <c r="BM62" i="7"/>
  <c r="C80" i="7"/>
  <c r="BM46" i="7"/>
  <c r="C84" i="7"/>
  <c r="BM50" i="7"/>
  <c r="C78" i="7"/>
  <c r="BM44" i="7"/>
  <c r="BM63" i="7"/>
  <c r="C97" i="7"/>
  <c r="C74" i="7"/>
  <c r="BM40" i="7"/>
  <c r="BM41" i="7"/>
  <c r="C75" i="7"/>
  <c r="AG38" i="7"/>
  <c r="BA38" i="7"/>
  <c r="CG38" i="7"/>
  <c r="B6" i="32"/>
  <c r="W65" i="7"/>
  <c r="AG65" i="7"/>
  <c r="BA65" i="7"/>
  <c r="CG65" i="7"/>
  <c r="AT103" i="7"/>
  <c r="AR65" i="7"/>
  <c r="X99" i="7"/>
  <c r="BC130" i="7"/>
  <c r="CD65" i="7"/>
  <c r="AI130" i="7"/>
  <c r="Y99" i="7"/>
  <c r="AE94" i="7"/>
  <c r="AE73" i="7"/>
  <c r="AE79" i="7"/>
  <c r="AE83" i="7"/>
  <c r="AE85" i="7"/>
  <c r="AE80" i="7"/>
  <c r="AE72" i="7"/>
  <c r="AE81" i="7"/>
  <c r="AE90" i="7"/>
  <c r="AE76" i="7"/>
  <c r="AE82" i="7"/>
  <c r="AE75" i="7"/>
  <c r="AE78" i="7"/>
  <c r="AE88" i="7"/>
  <c r="AE97" i="7"/>
  <c r="AE84" i="7"/>
  <c r="AE95" i="7"/>
  <c r="AE74" i="7"/>
  <c r="AE87" i="7"/>
  <c r="AE92" i="7"/>
  <c r="AE96" i="7"/>
  <c r="AE89" i="7"/>
  <c r="AE91" i="7"/>
  <c r="AE86" i="7"/>
  <c r="AE98" i="7"/>
  <c r="AE93" i="7"/>
  <c r="AE77" i="7"/>
  <c r="CH65" i="7"/>
  <c r="BB65" i="7"/>
  <c r="N99" i="7"/>
  <c r="BH64" i="7"/>
  <c r="I32" i="32"/>
  <c r="AI97" i="7"/>
  <c r="AS97" i="7"/>
  <c r="BC97" i="7"/>
  <c r="AS128" i="7"/>
  <c r="BH46" i="7"/>
  <c r="I14" i="32"/>
  <c r="BH59" i="7"/>
  <c r="I27" i="32"/>
  <c r="AI77" i="7"/>
  <c r="AS77" i="7"/>
  <c r="BC77" i="7"/>
  <c r="AS108" i="7"/>
  <c r="AS98" i="7"/>
  <c r="AI98" i="7"/>
  <c r="BC98" i="7"/>
  <c r="AS129" i="7"/>
  <c r="BH42" i="7"/>
  <c r="I10" i="32"/>
  <c r="BH61" i="7"/>
  <c r="I29" i="32"/>
  <c r="AI75" i="7"/>
  <c r="BC75" i="7"/>
  <c r="AS75" i="7"/>
  <c r="AS106" i="7"/>
  <c r="AI78" i="7"/>
  <c r="AS78" i="7"/>
  <c r="BC78" i="7"/>
  <c r="AS109" i="7"/>
  <c r="BH60" i="7"/>
  <c r="I28" i="32"/>
  <c r="AS91" i="7"/>
  <c r="AI91" i="7"/>
  <c r="BC91" i="7"/>
  <c r="AS122" i="7"/>
  <c r="AI85" i="7"/>
  <c r="AS85" i="7"/>
  <c r="BC85" i="7"/>
  <c r="AS116" i="7"/>
  <c r="AS95" i="7"/>
  <c r="BC95" i="7"/>
  <c r="AI95" i="7"/>
  <c r="AS126" i="7"/>
  <c r="AS82" i="7"/>
  <c r="AI82" i="7"/>
  <c r="BC82" i="7"/>
  <c r="AS113" i="7"/>
  <c r="BH56" i="7"/>
  <c r="I24" i="32"/>
  <c r="BC80" i="7"/>
  <c r="AI80" i="7"/>
  <c r="AS80" i="7"/>
  <c r="AS111" i="7"/>
  <c r="BH41" i="7"/>
  <c r="I9" i="32"/>
  <c r="BH44" i="7"/>
  <c r="I12" i="32"/>
  <c r="BH62" i="7"/>
  <c r="I30" i="32"/>
  <c r="AI94" i="7"/>
  <c r="AS94" i="7"/>
  <c r="BC94" i="7"/>
  <c r="AS125" i="7"/>
  <c r="BH54" i="7"/>
  <c r="I22" i="32"/>
  <c r="BH57" i="7"/>
  <c r="I25" i="32"/>
  <c r="AS81" i="7"/>
  <c r="BC81" i="7"/>
  <c r="AI81" i="7"/>
  <c r="AS112" i="7"/>
  <c r="BH48" i="7"/>
  <c r="I16" i="32"/>
  <c r="BC93" i="7"/>
  <c r="AS93" i="7"/>
  <c r="AI93" i="7"/>
  <c r="AS124" i="7"/>
  <c r="AS74" i="7"/>
  <c r="AI74" i="7"/>
  <c r="BC74" i="7"/>
  <c r="AS105" i="7"/>
  <c r="AS96" i="7"/>
  <c r="AI96" i="7"/>
  <c r="BC96" i="7"/>
  <c r="AS127" i="7"/>
  <c r="AI88" i="7"/>
  <c r="BC88" i="7"/>
  <c r="AS88" i="7"/>
  <c r="AS119" i="7"/>
  <c r="AS86" i="7"/>
  <c r="BC86" i="7"/>
  <c r="AI86" i="7"/>
  <c r="AS117" i="7"/>
  <c r="BH51" i="7"/>
  <c r="I19" i="32"/>
  <c r="BH39" i="7"/>
  <c r="I7" i="32"/>
  <c r="BH58" i="7"/>
  <c r="I26" i="32"/>
  <c r="BH63" i="7"/>
  <c r="I31" i="32"/>
  <c r="BH55" i="7"/>
  <c r="I23" i="32"/>
  <c r="BH40" i="7"/>
  <c r="I8" i="32"/>
  <c r="AS84" i="7"/>
  <c r="BC84" i="7"/>
  <c r="AI84" i="7"/>
  <c r="AS115" i="7"/>
  <c r="BH49" i="7"/>
  <c r="I17" i="32"/>
  <c r="BH52" i="7"/>
  <c r="I20" i="32"/>
  <c r="BH53" i="7"/>
  <c r="I21" i="32"/>
  <c r="BC76" i="7"/>
  <c r="AI76" i="7"/>
  <c r="AS76" i="7"/>
  <c r="AS107" i="7"/>
  <c r="BH47" i="7"/>
  <c r="I15" i="32"/>
  <c r="BC73" i="7"/>
  <c r="AI73" i="7"/>
  <c r="AS73" i="7"/>
  <c r="AS104" i="7"/>
  <c r="BH50" i="7"/>
  <c r="I18" i="32"/>
  <c r="BH45" i="7"/>
  <c r="I13" i="32"/>
  <c r="BH43" i="7"/>
  <c r="I11" i="32"/>
  <c r="AS90" i="7"/>
  <c r="BC90" i="7"/>
  <c r="AI90" i="7"/>
  <c r="AS121" i="7"/>
  <c r="AI83" i="7"/>
  <c r="BC83" i="7"/>
  <c r="AS83" i="7"/>
  <c r="AS114" i="7"/>
  <c r="BC92" i="7"/>
  <c r="AS92" i="7"/>
  <c r="AI92" i="7"/>
  <c r="AS123" i="7"/>
  <c r="BC79" i="7"/>
  <c r="AI79" i="7"/>
  <c r="AS79" i="7"/>
  <c r="AS110" i="7"/>
  <c r="BC87" i="7"/>
  <c r="AS87" i="7"/>
  <c r="AI87" i="7"/>
  <c r="AS118" i="7"/>
  <c r="AI89" i="7"/>
  <c r="BC89" i="7"/>
  <c r="AS89" i="7"/>
  <c r="AS120" i="7"/>
  <c r="BM65" i="7"/>
  <c r="C99" i="7"/>
  <c r="BM38" i="7"/>
  <c r="C72" i="7"/>
  <c r="BD130" i="7"/>
  <c r="AJ130" i="7"/>
  <c r="AE99" i="7"/>
  <c r="AT130" i="7"/>
  <c r="C33" i="32"/>
  <c r="BH38" i="7"/>
  <c r="G45" i="5"/>
  <c r="G44" i="5"/>
  <c r="AS130" i="7"/>
  <c r="B33" i="32"/>
  <c r="BC72" i="7"/>
  <c r="AI72" i="7"/>
  <c r="AS72" i="7"/>
  <c r="AS103" i="7"/>
  <c r="BH65" i="7"/>
  <c r="I6" i="32"/>
  <c r="BC99" i="7"/>
  <c r="AI99" i="7"/>
  <c r="AS99" i="7"/>
  <c r="I33" i="32"/>
  <c r="BJ38" i="7"/>
  <c r="BJ63" i="7"/>
  <c r="BJ39" i="7"/>
  <c r="BJ60" i="7"/>
  <c r="BJ52" i="7"/>
  <c r="BJ55" i="7"/>
  <c r="BJ58" i="7"/>
  <c r="BJ46" i="7"/>
  <c r="BJ40" i="7"/>
  <c r="BH66" i="7"/>
  <c r="BJ57" i="7"/>
  <c r="F45" i="5"/>
  <c r="BJ59" i="7"/>
  <c r="BJ45" i="7"/>
  <c r="BJ61" i="7"/>
  <c r="BJ41" i="7"/>
  <c r="BJ43" i="7"/>
  <c r="BJ49" i="7"/>
  <c r="BJ50" i="7"/>
  <c r="BJ62" i="7"/>
  <c r="BJ53" i="7"/>
  <c r="BJ64" i="7"/>
  <c r="BJ44" i="7"/>
  <c r="BJ48" i="7"/>
  <c r="BJ56" i="7"/>
  <c r="BJ51" i="7"/>
  <c r="BJ42" i="7"/>
  <c r="BJ54" i="7"/>
  <c r="BJ47" i="7"/>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A837EA9-9947-4E9A-93EA-744814161D9B}" keepAlive="1" name="Query - Append2" description="Connection to the 'Append2' query in the workbook." type="5" refreshedVersion="8" saveData="1">
    <dbPr connection="Provider=Microsoft.Mashup.OleDb.1;Data Source=$Workbook$;Location=Append2;Extended Properties=&quot;&quot;" command="SELECT * FROM [Append2]"/>
  </connection>
  <connection id="2" xr16:uid="{F79AD023-3BB5-456E-8964-1F587CDF138E}" keepAlive="1" name="Query - DirectIncomeSupport" description="Connection to the 'DirectIncomeSupport' query in the workbook." type="5" refreshedVersion="8" background="1" saveData="1">
    <dbPr connection="Provider=Microsoft.Mashup.OleDb.1;Data Source=$Workbook$;Location=DirectIncomeSupport;Extended Properties=&quot;&quot;" command="SELECT * FROM [DirectIncomeSupport]"/>
  </connection>
  <connection id="3" xr16:uid="{968FDDDC-EFF5-4933-B427-3EF23805828C}" keepAlive="1" name="Query - DIS per capita - lower income only" description="Connection to the 'DIS per capita - lower income only' query in the workbook." type="5" refreshedVersion="8" saveData="1">
    <dbPr connection="Provider=Microsoft.Mashup.OleDb.1;Data Source=$Workbook$;Location=&quot;DIS per capita - lower income only&quot;;Extended Properties=&quot;&quot;" command="SELECT * FROM [DIS per capita - lower income only]"/>
  </connection>
  <connection id="4" xr16:uid="{8D1A36C1-25FF-4E29-9A5E-FA8F476088EA}" keepAlive="1" name="Query - DISpercapita-adjusted" description="Connection to the 'DISpercapita-adjusted' query in the workbook." type="5" refreshedVersion="8" background="1" saveData="1">
    <dbPr connection="Provider=Microsoft.Mashup.OleDb.1;Data Source=$Workbook$;Location=DISpercapita-adjusted;Extended Properties=&quot;&quot;" command="SELECT * FROM [DISpercapita-adjusted]"/>
  </connection>
  <connection id="5" xr16:uid="{1A37B991-63C3-4485-8CEF-4A7983ACA010}" keepAlive="1" name="Query - ETS2 auction revenues outide SCF" description="Connection to the 'ETS2 auction revenues outide SCF' query in the workbook." type="5" refreshedVersion="8" saveData="1">
    <dbPr connection="Provider=Microsoft.Mashup.OleDb.1;Data Source=$Workbook$;Location=&quot;ETS2 auction revenues outide SCF&quot;;Extended Properties=&quot;&quot;" command="SELECT * FROM [ETS2 auction revenues outide SCF]"/>
  </connection>
  <connection id="6" xr16:uid="{C61457A2-AF2D-46C7-8C07-BFA2D9E42B5C}" keepAlive="1" name="Query - Frontloading" description="Connection to the 'Frontloading' query in the workbook." type="5" refreshedVersion="8" background="1" saveData="1">
    <dbPr connection="Provider=Microsoft.Mashup.OleDb.1;Data Source=$Workbook$;Location=Frontloading;Extended Properties=&quot;&quot;" command="SELECT * FROM [Frontloading]"/>
  </connection>
  <connection id="7" xr16:uid="{5A70AA9A-88CC-4F28-87A6-4BCEA94362B0}" keepAlive="1" name="Query - Frontloading per capita" description="Connection to the 'Frontloading per capita' query in the workbook." type="5" refreshedVersion="8" saveData="1">
    <dbPr connection="Provider=Microsoft.Mashup.OleDb.1;Data Source=$Workbook$;Location=&quot;Frontloading per capita&quot;;Extended Properties=&quot;&quot;" command="SELECT * FROM [Frontloading per capita]"/>
  </connection>
  <connection id="8" xr16:uid="{8507B7AF-BD95-43D0-8095-9A6329A44FFE}" keepAlive="1" name="Query - Max direct redistribution in SCF" description="Connection to the 'Max direct redistribution in SCF' query in the workbook." type="5" refreshedVersion="8" saveData="1">
    <dbPr connection="Provider=Microsoft.Mashup.OleDb.1;Data Source=$Workbook$;Location=&quot;Max direct redistribution in SCF&quot;;Extended Properties=&quot;&quot;" command="SELECT * FROM [Max direct redistribution in SCF]"/>
  </connection>
  <connection id="9" xr16:uid="{A8BE575F-4A40-47AD-95BB-5B8DF4A0A2A9}" keepAlive="1" name="Query - Max DIS per cap" description="Connection to the 'Max DIS per cap' query in the workbook." type="5" refreshedVersion="8" background="1" saveData="1">
    <dbPr connection="Provider=Microsoft.Mashup.OleDb.1;Data Source=$Workbook$;Location=&quot;Max DIS per cap&quot;;Extended Properties=&quot;&quot;" command="SELECT * FROM [Max DIS per cap]"/>
  </connection>
  <connection id="10" xr16:uid="{07D28F7C-0F4E-45A2-B380-ACB693597B28}" keepAlive="1" name="Query - Max DIS to pop at risk of poverty" description="Connection to the 'Max DIS to pop at risk of poverty' query in the workbook." type="5" refreshedVersion="8" saveData="1">
    <dbPr connection="Provider=Microsoft.Mashup.OleDb.1;Data Source=$Workbook$;Location=&quot;Max DIS to pop at risk of poverty&quot;;Extended Properties=&quot;&quot;" command="SELECT * FROM [Max DIS to pop at risk of poverty]"/>
  </connection>
  <connection id="11" xr16:uid="{AB278028-9BBD-471B-A21F-C2EC4649B9A7}" keepAlive="1" name="Query - Maximum DIS in SCF per capita" description="Connection to the 'Maximum DIS in SCF per capita' query in the workbook." type="5" refreshedVersion="8" saveData="1">
    <dbPr connection="Provider=Microsoft.Mashup.OleDb.1;Data Source=$Workbook$;Location=&quot;Maximum DIS in SCF per capita&quot;;Extended Properties=&quot;&quot;" command="SELECT * FROM [Maximum DIS in SCF per capita]"/>
  </connection>
  <connection id="12" xr16:uid="{44334110-D95B-4438-80BB-7747B3351AD5}" keepAlive="1" name="Query - Min own contribution to expenses by MS to SCF" description="Connection to the 'Min own contribution to expenses by MS to SCF' query in the workbook." type="5" refreshedVersion="8" saveData="1">
    <dbPr connection="Provider=Microsoft.Mashup.OleDb.1;Data Source=$Workbook$;Location=&quot;Min own contribution to expenses by MS to SCF&quot;;Extended Properties=&quot;&quot;" command="SELECT * FROM [Min own contribution to expenses by MS to SCF]"/>
  </connection>
  <connection id="13" xr16:uid="{64090A60-8361-4245-804D-B38604E128A7}" keepAlive="1" name="Query - Rest of ETS2 revenues after own contribution" description="Connection to the 'Rest of ETS2 revenues after own contribution' query in the workbook." type="5" refreshedVersion="8" saveData="1">
    <dbPr connection="Provider=Microsoft.Mashup.OleDb.1;Data Source=$Workbook$;Location=&quot;Rest of ETS2 revenues after own contribution&quot;;Extended Properties=&quot;&quot;" command="SELECT * FROM [Rest of ETS2 revenues after own contribution]"/>
  </connection>
  <connection id="14" xr16:uid="{852BD198-2B04-4BF2-954E-072730A6BB16}" keepAlive="1" name="Query - Rest of ETS2 revenues after own contribution per capita" description="Connection to the 'Rest of ETS2 revenues after own contribution per capita' query in the workbook." type="5" refreshedVersion="8" saveData="1">
    <dbPr connection="Provider=Microsoft.Mashup.OleDb.1;Data Source=$Workbook$;Location=&quot;Rest of ETS2 revenues after own contribution per capita&quot;;Extended Properties=&quot;&quot;" command="SELECT * FROM [Rest of ETS2 revenues after own contribution per capita]"/>
  </connection>
  <connection id="15" xr16:uid="{4222AABD-170A-4130-AB0E-DC63A38D42B2}" keepAlive="1" name="Query - RestETS2+FL+Own" description="Connection to the 'RestETS2+FL+Own' query in the workbook." type="5" refreshedVersion="8" background="1" saveData="1">
    <dbPr connection="Provider=Microsoft.Mashup.OleDb.1;Data Source=$Workbook$;Location=RestETS2+FL+Own;Extended Properties=&quot;&quot;" command="SELECT * FROM [RestETS2+FL+Own]"/>
  </connection>
  <connection id="16" xr16:uid="{CCBD7A0F-1CA2-4F58-8B82-DCC5863455D4}" keepAlive="1" name="Query - Revenue per cap - low income" description="Connection to the 'Revenue per cap - low income' query in the workbook." type="5" refreshedVersion="8" background="1" saveData="1">
    <dbPr connection="Provider=Microsoft.Mashup.OleDb.1;Data Source=$Workbook$;Location=&quot;Revenue per cap - low income&quot;;Extended Properties=&quot;&quot;" command="SELECT * FROM [Revenue per cap - low income]"/>
  </connection>
  <connection id="17" xr16:uid="{5D5F014E-7C5D-4A4F-86AD-8F8EA763F53B}" keepAlive="1" name="Query - Revenue per cap - poverty" description="Connection to the 'Revenue per cap - poverty' query in the workbook." type="5" refreshedVersion="8" background="1" saveData="1">
    <dbPr connection="Provider=Microsoft.Mashup.OleDb.1;Data Source=$Workbook$;Location=&quot;Revenue per cap - poverty&quot;;Extended Properties=&quot;&quot;" command="SELECT * FROM [Revenue per cap - poverty]"/>
  </connection>
  <connection id="18" xr16:uid="{5BC32118-918F-4BFD-BC1B-B161E3880FCA}" keepAlive="1" name="Query - SCF revenues(1)" description="Connection to the 'SCF revenues' query in the workbook." type="5" refreshedVersion="8" saveData="1">
    <dbPr connection="Provider=Microsoft.Mashup.OleDb.1;Data Source=$Workbook$;Location=&quot;SCF revenues&quot;;Extended Properties=&quot;&quot;" command="SELECT * FROM [SCF revenues]"/>
  </connection>
  <connection id="19" xr16:uid="{50E8953F-B2E9-4739-A526-DAC9306CA1E5}" keepAlive="1" name="Query - SocialLeasingEV" description="Connection to the 'SocialLeasingEV' query in the workbook." type="5" refreshedVersion="8" background="1" saveData="1">
    <dbPr connection="Provider=Microsoft.Mashup.OleDb.1;Data Source=$Workbook$;Location=SocialLeasingEV;Extended Properties=&quot;&quot;" command="SELECT * FROM [SocialLeasingEV]"/>
  </connection>
  <connection id="20" xr16:uid="{F6B4C1C2-51E1-4A00-A739-DFDD73FE66BC}" keepAlive="1" name="Query - SocialLeasingHP" description="Connection to the 'SocialLeasingHP' query in the workbook." type="5" refreshedVersion="8" background="1" saveData="1">
    <dbPr connection="Provider=Microsoft.Mashup.OleDb.1;Data Source=$Workbook$;Location=SocialLeasingHP;Extended Properties=&quot;&quot;" command="SELECT * FROM [SocialLeasingHP]"/>
  </connection>
  <connection id="21" xr16:uid="{7F205B2D-F0CD-4244-8C8F-2106ADCF5B43}" keepAlive="1" name="Query - Total ETS2 + SCF revenues" description="Connection to the 'Total ETS2 + SCF revenues' query in the workbook." type="5" refreshedVersion="8" saveData="1">
    <dbPr connection="Provider=Microsoft.Mashup.OleDb.1;Data Source=$Workbook$;Location=&quot;Total ETS2 + SCF revenues&quot;;Extended Properties=&quot;&quot;" command="SELECT * FROM [Total ETS2 + SCF revenues]"/>
  </connection>
  <connection id="22" xr16:uid="{EFAE2ED5-78FE-40F7-9F81-6FB47E82C7ED}" keepAlive="1" name="Query - Total SCF incl own contribution" description="Connection to the 'Total SCF incl own contribution' query in the workbook." type="5" refreshedVersion="8" saveData="1">
    <dbPr connection="Provider=Microsoft.Mashup.OleDb.1;Data Source=$Workbook$;Location=&quot;Total SCF incl own contribution&quot;;Extended Properties=&quot;&quot;" command="SELECT * FROM [Total SCF incl own contribution]"/>
  </connection>
  <connection id="23" xr16:uid="{DA80F482-FBCA-487D-A3ED-2F759080FFC3}" keepAlive="1" name="Query - Total SCF incl own contribution per capita" description="Connection to the 'Total SCF incl own contribution per capita' query in the workbook." type="5" refreshedVersion="8" saveData="1">
    <dbPr connection="Provider=Microsoft.Mashup.OleDb.1;Data Source=$Workbook$;Location=&quot;Total SCF incl own contribution per capita&quot;;Extended Properties=&quot;&quot;" command="SELECT * FROM [Total SCF incl own contribution per capita]"/>
  </connection>
  <connection id="24" xr16:uid="{A9521283-7DFD-4155-A32E-26B9F6F01B9F}" keepAlive="1" name="Query - TotalRevenue" description="Connection to the 'TotalRevenue' query in the workbook." type="5" refreshedVersion="8" background="1" saveData="1">
    <dbPr connection="Provider=Microsoft.Mashup.OleDb.1;Data Source=$Workbook$;Location=TotalRevenue;Extended Properties=&quot;&quot;" command="SELECT * FROM [TotalRevenue]"/>
  </connection>
  <connection id="25" xr16:uid="{CF53333E-E0E1-48FA-8D27-675C393799B7}"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6" xr16:uid="{587035F8-56A1-4BF8-B624-AC8FA10A8295}" name="WorksheetConnection_2502_SCF-ETS2_Revenues_v3.xlsx!Append2" type="102" refreshedVersion="8" minRefreshableVersion="5">
    <extLst>
      <ext xmlns:x15="http://schemas.microsoft.com/office/spreadsheetml/2010/11/main" uri="{DE250136-89BD-433C-8126-D09CA5730AF9}">
        <x15:connection id="Append2">
          <x15:rangePr sourceName="_xlcn.WorksheetConnection_2502_SCFETS2_Revenues_v3.xlsxAppend2"/>
        </x15:connection>
      </ext>
    </extLst>
  </connection>
</connections>
</file>

<file path=xl/sharedStrings.xml><?xml version="1.0" encoding="utf-8"?>
<sst xmlns="http://schemas.openxmlformats.org/spreadsheetml/2006/main" count="11582" uniqueCount="261">
  <si>
    <t>SCF</t>
  </si>
  <si>
    <t>Total</t>
  </si>
  <si>
    <t>Austria</t>
  </si>
  <si>
    <t>Belgium</t>
  </si>
  <si>
    <t>Bulgaria</t>
  </si>
  <si>
    <t>Croatia</t>
  </si>
  <si>
    <t>Cyprus</t>
  </si>
  <si>
    <t>Czechia</t>
  </si>
  <si>
    <t>Denmark</t>
  </si>
  <si>
    <t>Estonia</t>
  </si>
  <si>
    <t>Finland</t>
  </si>
  <si>
    <t>France</t>
  </si>
  <si>
    <t>Germany</t>
  </si>
  <si>
    <t>Greece</t>
  </si>
  <si>
    <t>Hungary</t>
  </si>
  <si>
    <t>Ireland</t>
  </si>
  <si>
    <t>Italy</t>
  </si>
  <si>
    <t>Latvia</t>
  </si>
  <si>
    <t>Lithuania</t>
  </si>
  <si>
    <t>Luxembourg</t>
  </si>
  <si>
    <t>Malta</t>
  </si>
  <si>
    <t>Netherlands</t>
  </si>
  <si>
    <t>Poland</t>
  </si>
  <si>
    <t>Portugal</t>
  </si>
  <si>
    <t>Romania</t>
  </si>
  <si>
    <t>Slovakia</t>
  </si>
  <si>
    <t>Slovenia</t>
  </si>
  <si>
    <t>Spain</t>
  </si>
  <si>
    <t>Sweden</t>
  </si>
  <si>
    <t>EU 27</t>
  </si>
  <si>
    <t>%</t>
  </si>
  <si>
    <t>Ø2016-18</t>
  </si>
  <si>
    <t>Cap</t>
  </si>
  <si>
    <t>Supply</t>
  </si>
  <si>
    <t>[EUR/t]</t>
  </si>
  <si>
    <t>Stable</t>
  </si>
  <si>
    <t>Price increases each year by</t>
  </si>
  <si>
    <t>Exponential</t>
  </si>
  <si>
    <t>Emissions</t>
  </si>
  <si>
    <t>Price stable until 2028 then rapid increase by</t>
  </si>
  <si>
    <t>SCF revenues</t>
  </si>
  <si>
    <t>Share</t>
  </si>
  <si>
    <t>ETS2 auction revenues outide SCF</t>
  </si>
  <si>
    <t>Frontloading (30% as in ETS Directive)</t>
  </si>
  <si>
    <t>Share SCF auction revenues in total ETS2 revenue:</t>
  </si>
  <si>
    <t>Share SCF allowances in ETS2:</t>
  </si>
  <si>
    <t>2027-2032</t>
  </si>
  <si>
    <t>2026-2032</t>
  </si>
  <si>
    <t>Min. own contribution to expenses by MS to SCF</t>
  </si>
  <si>
    <t>Total SCF incl. own contribution</t>
  </si>
  <si>
    <t>SCF allowances</t>
  </si>
  <si>
    <t>EU average ETS2+SCF revenues</t>
  </si>
  <si>
    <t>[Million EUR 2023]</t>
  </si>
  <si>
    <t>Total SCF incl. own contribution per capita</t>
  </si>
  <si>
    <t>Rest of ETS2 revenues after own contribution per capita</t>
  </si>
  <si>
    <t>EU</t>
  </si>
  <si>
    <t>average</t>
  </si>
  <si>
    <t>Maximum direct redistribution in SCF per capita</t>
  </si>
  <si>
    <t>lowest income households</t>
  </si>
  <si>
    <t>No targeting</t>
  </si>
  <si>
    <t>Column1</t>
  </si>
  <si>
    <t>2027</t>
  </si>
  <si>
    <t>2028</t>
  </si>
  <si>
    <t>2029</t>
  </si>
  <si>
    <t>2030</t>
  </si>
  <si>
    <t>2031</t>
  </si>
  <si>
    <t>2032</t>
  </si>
  <si>
    <t>Share of SCF that can be redistributed</t>
  </si>
  <si>
    <t>Share SCF incl. own contribution in total ETS2 revenue:</t>
  </si>
  <si>
    <t>Eurostat</t>
  </si>
  <si>
    <t>Country</t>
  </si>
  <si>
    <t>Year</t>
  </si>
  <si>
    <t>2026</t>
  </si>
  <si>
    <t>Max direct redistribution in SCF</t>
  </si>
  <si>
    <t>Max redistribution per capita - lower income households</t>
  </si>
  <si>
    <t>SCF incl. own contribution</t>
  </si>
  <si>
    <t>Per capita</t>
  </si>
  <si>
    <t>Revenue</t>
  </si>
  <si>
    <t>of allowances at</t>
  </si>
  <si>
    <t>Frontloading</t>
  </si>
  <si>
    <t>Own contribution</t>
  </si>
  <si>
    <t>Optional frontloading</t>
  </si>
  <si>
    <t>Revenues</t>
  </si>
  <si>
    <t>Frontloading per cap</t>
  </si>
  <si>
    <t>Only to lower income population</t>
  </si>
  <si>
    <t>Only to population at risk of poverty</t>
  </si>
  <si>
    <t>All revenues per cap poverty</t>
  </si>
  <si>
    <t>Total ETS 2 + SCF revenues</t>
  </si>
  <si>
    <t>Monthly reference leasing cost</t>
  </si>
  <si>
    <t>Reference initial spending</t>
  </si>
  <si>
    <t>of population each year (incremental)</t>
  </si>
  <si>
    <t>Reference monthly leasing cost</t>
  </si>
  <si>
    <t>Reference initial spending (covered by the state)</t>
  </si>
  <si>
    <t>Excess</t>
  </si>
  <si>
    <t>Share (%)</t>
  </si>
  <si>
    <t>5.59%</t>
  </si>
  <si>
    <t>7.23%</t>
  </si>
  <si>
    <t>3.94%</t>
  </si>
  <si>
    <t>2.36%</t>
  </si>
  <si>
    <t>0.57%</t>
  </si>
  <si>
    <t>3.64%</t>
  </si>
  <si>
    <t>0.84%</t>
  </si>
  <si>
    <t>3.43%</t>
  </si>
  <si>
    <t>6.35%</t>
  </si>
  <si>
    <t>5.85%</t>
  </si>
  <si>
    <t>3.26%</t>
  </si>
  <si>
    <t>1.14%</t>
  </si>
  <si>
    <t>1.77%</t>
  </si>
  <si>
    <t>0.41%</t>
  </si>
  <si>
    <t>0.34%</t>
  </si>
  <si>
    <t>6.49%</t>
  </si>
  <si>
    <t>3.31%</t>
  </si>
  <si>
    <t>1.30%</t>
  </si>
  <si>
    <t>6.44%</t>
  </si>
  <si>
    <t>covered by grant on upfront costs</t>
  </si>
  <si>
    <t>CONFIDENTIAL</t>
  </si>
  <si>
    <t>Heating market size (all technologies)</t>
  </si>
  <si>
    <t>To</t>
  </si>
  <si>
    <t>[EUR/t] in 2027</t>
  </si>
  <si>
    <t>Steady increase</t>
  </si>
  <si>
    <t>Redistribution (all revenues)</t>
  </si>
  <si>
    <t>Eurostat 2023</t>
  </si>
  <si>
    <t>Remaining monthly expense for household</t>
  </si>
  <si>
    <t>Direct income support</t>
  </si>
  <si>
    <t>SCF + own contribution</t>
  </si>
  <si>
    <t>2033</t>
  </si>
  <si>
    <t>2034</t>
  </si>
  <si>
    <t>2035</t>
  </si>
  <si>
    <t>Inflation</t>
  </si>
  <si>
    <t>Max. remaining monthly expense for household</t>
  </si>
  <si>
    <t>Zero-interest loan</t>
  </si>
  <si>
    <t>Maximum direct income support of SCF</t>
  </si>
  <si>
    <t>Maximum direct income support in SCF per capita</t>
  </si>
  <si>
    <t>Max direct income support in SCF per capita - lower income population</t>
  </si>
  <si>
    <t>Maximum direct income support in SCF per capita - population at risk of poverty</t>
  </si>
  <si>
    <t>Maximum direct income support of ETS2 per capita (excluding SCF)</t>
  </si>
  <si>
    <t>years (loan duration)</t>
  </si>
  <si>
    <t>Interest rate</t>
  </si>
  <si>
    <t>of the yearly heating market</t>
  </si>
  <si>
    <t>new beneficiaries per year</t>
  </si>
  <si>
    <t>(3 years)</t>
  </si>
  <si>
    <t>Max. Direct income support from SCF</t>
  </si>
  <si>
    <t>per person to</t>
  </si>
  <si>
    <t>Median equivalised net income</t>
  </si>
  <si>
    <t>EUR</t>
  </si>
  <si>
    <t>Monthly median equivalised net income</t>
  </si>
  <si>
    <t>Average cost per head</t>
  </si>
  <si>
    <t>[EUR]</t>
  </si>
  <si>
    <t>Unit</t>
  </si>
  <si>
    <t>[ct/l]</t>
  </si>
  <si>
    <t>Diesel</t>
  </si>
  <si>
    <t>Heating oil</t>
  </si>
  <si>
    <t>Fossil gas</t>
  </si>
  <si>
    <t>[ct/kWh]</t>
  </si>
  <si>
    <t>Heating coal (anthracite)</t>
  </si>
  <si>
    <t>ETS2Rest+FL+Own</t>
  </si>
  <si>
    <t>Total ETS2 after frontloading</t>
  </si>
  <si>
    <t>Own contribution to SCF</t>
  </si>
  <si>
    <t>SCF incl. MS own contribution</t>
  </si>
  <si>
    <t>DIS-capita-adjust</t>
  </si>
  <si>
    <t>Max direct income support in ETS2 per capita - lower income population (includes SCF)</t>
  </si>
  <si>
    <t>Maximum direct income support in ETS 2 per capita - population at risk of poverty (excludes SCF)</t>
  </si>
  <si>
    <t>Income support</t>
  </si>
  <si>
    <t>Income support selected</t>
  </si>
  <si>
    <t>info@agora-energiewende.de</t>
  </si>
  <si>
    <t>1.00</t>
  </si>
  <si>
    <t>10178 Berlin</t>
  </si>
  <si>
    <t>Anna-Louisa-Karsch-Str. 2</t>
  </si>
  <si>
    <t>Agora Energiewende</t>
  </si>
  <si>
    <t>Contact</t>
  </si>
  <si>
    <t>Version</t>
  </si>
  <si>
    <t>Authors</t>
  </si>
  <si>
    <t>https://www.agora-energiewende.org/</t>
  </si>
  <si>
    <t>Produced by</t>
  </si>
  <si>
    <t>Last update</t>
  </si>
  <si>
    <t>© Agora Energiewende, Agora Think Tanks gGmbH.</t>
  </si>
  <si>
    <t>All rights reserved. Use of the methods, standard data and results</t>
  </si>
  <si>
    <t>only permitted with reference to the authors and Agora Energiewende.</t>
  </si>
  <si>
    <t>Assumptions – REVENUES</t>
  </si>
  <si>
    <t>Price remains stable 2027–2035</t>
  </si>
  <si>
    <t>2027–2032</t>
  </si>
  <si>
    <t>User manual</t>
  </si>
  <si>
    <t>Social Climate Fund (SCF)</t>
  </si>
  <si>
    <t>Total
2026-2032</t>
  </si>
  <si>
    <t>[Millions]</t>
  </si>
  <si>
    <t>Share of population at risk of poverty</t>
  </si>
  <si>
    <t>Emissions per capita (t)</t>
  </si>
  <si>
    <t>ETS 2 allowances</t>
  </si>
  <si>
    <t>ETS 2 (150 million allowances + additional)</t>
  </si>
  <si>
    <t>Emissions covered by ETS 2 (Mt)</t>
  </si>
  <si>
    <t>Carbon cost excl. VAT</t>
  </si>
  <si>
    <r>
      <t xml:space="preserve">Choose carbon price in </t>
    </r>
    <r>
      <rPr>
        <b/>
        <sz val="11"/>
        <color theme="4" tint="0.39997558519241921"/>
        <rFont val="Flexo"/>
        <family val="3"/>
        <scheme val="minor"/>
      </rPr>
      <t>2027</t>
    </r>
    <r>
      <rPr>
        <b/>
        <sz val="11"/>
        <color theme="1"/>
        <rFont val="Flexo"/>
        <family val="3"/>
        <scheme val="minor"/>
      </rPr>
      <t xml:space="preserve"> and </t>
    </r>
    <r>
      <rPr>
        <b/>
        <sz val="11"/>
        <color theme="4" tint="0.39997558519241921"/>
        <rFont val="Flexo"/>
        <family val="3"/>
        <scheme val="minor"/>
      </rPr>
      <t>trend</t>
    </r>
  </si>
  <si>
    <t>Carbon price trend</t>
  </si>
  <si>
    <t>Assumptions – SPENDING</t>
  </si>
  <si>
    <t>Min. own contribution to expenses by Member States to SCF</t>
  </si>
  <si>
    <t>Total revenues incl. optional frontloading</t>
  </si>
  <si>
    <t>Number of heat pump  installations</t>
  </si>
  <si>
    <t>EUR/month</t>
  </si>
  <si>
    <t xml:space="preserve"> Social leasing: heat pumps (million EUR)</t>
  </si>
  <si>
    <t>Direct income support per capita (EUR)</t>
  </si>
  <si>
    <t>ETS 1 (50 million allowances in 2025)</t>
  </si>
  <si>
    <t>Population 2024</t>
  </si>
  <si>
    <t>Petrol</t>
  </si>
  <si>
    <t>Rest of ETS2 revenues after own contribution</t>
  </si>
  <si>
    <t>Total ETS2 + SCF revenues</t>
  </si>
  <si>
    <t>Max redistribution to pop at risk of poverty</t>
  </si>
  <si>
    <t>DIS per cap</t>
  </si>
  <si>
    <t>All revenues Per cap low</t>
  </si>
  <si>
    <t>Direct Income Support</t>
  </si>
  <si>
    <t>SocialEV</t>
  </si>
  <si>
    <t>SocialLeasing HP</t>
  </si>
  <si>
    <t>Social leasing: Evs (millon EUR)</t>
  </si>
  <si>
    <t>Air to water heat pump prices (purchase + installation) (EUR)</t>
  </si>
  <si>
    <t/>
  </si>
  <si>
    <r>
      <rPr>
        <b/>
        <sz val="11"/>
        <color theme="1"/>
        <rFont val="Flexo"/>
        <family val="3"/>
        <scheme val="minor"/>
      </rPr>
      <t>Please note:</t>
    </r>
    <r>
      <rPr>
        <sz val="11"/>
        <color theme="1"/>
        <rFont val="Flexo"/>
        <family val="2"/>
        <scheme val="minor"/>
      </rPr>
      <t xml:space="preserve"> </t>
    </r>
  </si>
  <si>
    <r>
      <t xml:space="preserve">Whenever you change data in the purple cells click on the </t>
    </r>
    <r>
      <rPr>
        <b/>
        <u/>
        <sz val="11"/>
        <color theme="1"/>
        <rFont val="Flexo"/>
        <family val="3"/>
        <scheme val="minor"/>
      </rPr>
      <t>Data</t>
    </r>
    <r>
      <rPr>
        <sz val="11"/>
        <color theme="1"/>
        <rFont val="Flexo"/>
        <family val="3"/>
        <scheme val="minor"/>
      </rPr>
      <t xml:space="preserve"> tab and then on</t>
    </r>
    <r>
      <rPr>
        <b/>
        <u/>
        <sz val="11"/>
        <color theme="1"/>
        <rFont val="Flexo"/>
        <family val="3"/>
        <scheme val="minor"/>
      </rPr>
      <t xml:space="preserve"> Refresh All</t>
    </r>
    <r>
      <rPr>
        <sz val="11"/>
        <color theme="1"/>
        <rFont val="Flexo"/>
        <family val="3"/>
        <scheme val="minor"/>
      </rPr>
      <t xml:space="preserve"> to get the appropriate results.</t>
    </r>
  </si>
  <si>
    <t>Share of population at risk of poverty or social exclusion</t>
  </si>
  <si>
    <t>Clear Blue Markets</t>
  </si>
  <si>
    <t>Carbon price trajectories</t>
  </si>
  <si>
    <t>Carbon price graph</t>
  </si>
  <si>
    <t xml:space="preserve">Carbon price </t>
  </si>
  <si>
    <t>Price</t>
  </si>
  <si>
    <t>MSR releases</t>
  </si>
  <si>
    <t>Liquidity (TNAC)</t>
  </si>
  <si>
    <t>Early auctions</t>
  </si>
  <si>
    <t>Choose start</t>
  </si>
  <si>
    <t>Start year ETS 2</t>
  </si>
  <si>
    <t>Price 2027</t>
  </si>
  <si>
    <t>Trend</t>
  </si>
  <si>
    <t>Max price</t>
  </si>
  <si>
    <t>EUR/t</t>
  </si>
  <si>
    <t xml:space="preserve">at price of </t>
  </si>
  <si>
    <t>Dashboard selection</t>
  </si>
  <si>
    <t>Optional revenue frontloading per capita</t>
  </si>
  <si>
    <t>Early auctions:</t>
  </si>
  <si>
    <t>Frontloading revenues from 2030–2035 to 2026-2027:</t>
  </si>
  <si>
    <t>Maximum carbon price</t>
  </si>
  <si>
    <t>Rest of ETS 2 revenues after own contribution</t>
  </si>
  <si>
    <t>Social financing – 
heat pumps</t>
  </si>
  <si>
    <t>Total revenue</t>
  </si>
  <si>
    <t>Only to pop. at risk of poverty (SCF only)</t>
  </si>
  <si>
    <t>To         lower income pop. (SCF only)</t>
  </si>
  <si>
    <t>Frontloading of 2030-2035 revenues to 2026-2027 minus own contribution in 2026-2027</t>
  </si>
  <si>
    <t>of population, declining by 2% per year. Indexed to carbon price</t>
  </si>
  <si>
    <t>Social financing of heat pumps (EUR)</t>
  </si>
  <si>
    <t>BNEF incl. MSR reform</t>
  </si>
  <si>
    <t>Veyt MSR changes + 2028 start</t>
  </si>
  <si>
    <t>Murielle Gagnebin</t>
  </si>
  <si>
    <t>ETS2 revenue simulation tool</t>
  </si>
  <si>
    <t>Please cite as: Agora Energiewende (2025): ETS2 revenue simulation tool.</t>
  </si>
  <si>
    <t>Social leasing – EV</t>
  </si>
  <si>
    <t>Share of SCF auction revenues in total ETS2 revenue:</t>
  </si>
  <si>
    <t>Share of SCF incl. own contribution in total ETS2 revenue:</t>
  </si>
  <si>
    <t>Rest of ETS2 revenues</t>
  </si>
  <si>
    <t>To         lower income pop. (all of ETS2)</t>
  </si>
  <si>
    <t>Only to pop. at risk of poverty (all of ETS2)</t>
  </si>
  <si>
    <t>Social leasing EV</t>
  </si>
  <si>
    <t>Social financing HP</t>
  </si>
  <si>
    <t>All ETS2 revenue</t>
  </si>
  <si>
    <t>Rest of ETS2</t>
  </si>
  <si>
    <r>
      <t>of allowances from 2028 in 2027</t>
    </r>
    <r>
      <rPr>
        <sz val="11"/>
        <rFont val="Flexo"/>
        <family val="3"/>
        <scheme val="minor"/>
      </rPr>
      <t xml:space="preserve"> (only if ETS2 delayed to 2028)</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</si>
</sst>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_);_(* \(#,##0.00\);_(* &quot;-&quot;??_);_(@_)"/>
    <numFmt numFmtId="165" formatCode="#,##0.0"/>
    <numFmt numFmtId="166" formatCode="0.0%"/>
    <numFmt numFmtId="167" formatCode="#,##0.0_i"/>
    <numFmt numFmtId="168" formatCode="#,##0_ ;[Red]\-#,##0\ "/>
    <numFmt numFmtId="169" formatCode="_-* #,##0_-;\-* #,##0_-;_-* &quot;-&quot;??_-;_-@_-"/>
    <numFmt numFmtId="170" formatCode="_-* #,##0\ [$€-407]_-;\-* #,##0\ [$€-407]_-;_-* &quot;-&quot;??\ [$€-407]_-;_-@_-"/>
    <numFmt numFmtId="171" formatCode="_-* #,##0.0_-;\-* #,##0.0_-;_-* &quot;-&quot;?_-;_-@_-"/>
    <numFmt numFmtId="172" formatCode="_-* #,##0_-;\-* #,##0_-;_-* &quot;-&quot;?_-;_-@_-"/>
    <numFmt numFmtId="173" formatCode="0.0"/>
    <numFmt numFmtId="174" formatCode="_(* #,##0_);_(* \(#,##0\);_(* &quot;-&quot;??_);_(@_)"/>
    <numFmt numFmtId="175" formatCode="_-[$EUR]\ * #,##0_-;\-[$EUR]\ * #,##0_-;_-[$EUR]\ * &quot;-&quot;_-;_-@_-"/>
    <numFmt numFmtId="176" formatCode="_-* #,##0.0_-;\-* #,##0.0_-;_-* &quot;-&quot;??_-;_-@_-"/>
  </numFmts>
  <fonts count="40" x14ac:knownFonts="1">
    <font>
      <sz val="11"/>
      <color theme="1"/>
      <name val="Flexo"/>
      <family val="2"/>
      <scheme val="minor"/>
    </font>
    <font>
      <sz val="11"/>
      <color theme="1"/>
      <name val="Flexo"/>
      <family val="2"/>
      <scheme val="minor"/>
    </font>
    <font>
      <b/>
      <sz val="11"/>
      <color theme="1"/>
      <name val="Flexo"/>
      <family val="2"/>
      <scheme val="minor"/>
    </font>
    <font>
      <sz val="11"/>
      <color indexed="8"/>
      <name val="Flexo"/>
      <family val="2"/>
      <scheme val="minor"/>
    </font>
    <font>
      <sz val="9"/>
      <name val="Arial"/>
      <family val="2"/>
    </font>
    <font>
      <sz val="10"/>
      <name val="Arial"/>
      <family val="2"/>
    </font>
    <font>
      <sz val="11"/>
      <name val="Arial"/>
      <family val="2"/>
    </font>
    <font>
      <sz val="11"/>
      <name val="Arial"/>
      <family val="2"/>
      <charset val="238"/>
    </font>
    <font>
      <sz val="11"/>
      <color theme="1"/>
      <name val="Flexo"/>
      <family val="2"/>
      <charset val="238"/>
      <scheme val="minor"/>
    </font>
    <font>
      <sz val="9"/>
      <name val="Arial"/>
      <family val="2"/>
      <charset val="161"/>
    </font>
    <font>
      <sz val="11"/>
      <color indexed="8"/>
      <name val="Calibri"/>
      <family val="2"/>
    </font>
    <font>
      <u/>
      <sz val="9"/>
      <color theme="10"/>
      <name val="Arial"/>
      <family val="2"/>
    </font>
    <font>
      <b/>
      <sz val="11"/>
      <color theme="1"/>
      <name val="Flexo"/>
      <family val="3"/>
      <scheme val="minor"/>
    </font>
    <font>
      <sz val="11"/>
      <color theme="1"/>
      <name val="Flexo"/>
      <family val="3"/>
      <scheme val="minor"/>
    </font>
    <font>
      <sz val="11"/>
      <color theme="0"/>
      <name val="Flexo"/>
      <family val="2"/>
      <scheme val="minor"/>
    </font>
    <font>
      <b/>
      <sz val="11"/>
      <color theme="9" tint="0.79998168889431442"/>
      <name val="Flexo"/>
      <family val="2"/>
      <scheme val="minor"/>
    </font>
    <font>
      <sz val="8"/>
      <name val="Flexo"/>
      <family val="2"/>
      <scheme val="minor"/>
    </font>
    <font>
      <b/>
      <sz val="11"/>
      <name val="Flexo"/>
      <family val="3"/>
      <scheme val="minor"/>
    </font>
    <font>
      <sz val="14"/>
      <color rgb="FF000000"/>
      <name val="Flexo"/>
      <family val="2"/>
      <scheme val="minor"/>
    </font>
    <font>
      <b/>
      <sz val="11"/>
      <color theme="0"/>
      <name val="Flexo"/>
      <family val="2"/>
      <scheme val="minor"/>
    </font>
    <font>
      <sz val="10"/>
      <color theme="1"/>
      <name val="Arial"/>
      <family val="2"/>
    </font>
    <font>
      <sz val="11"/>
      <name val="Flexo"/>
      <family val="2"/>
      <scheme val="minor"/>
    </font>
    <font>
      <b/>
      <sz val="11"/>
      <color theme="0" tint="-9.9978637043366805E-2"/>
      <name val="Flexo"/>
      <family val="2"/>
      <scheme val="minor"/>
    </font>
    <font>
      <u/>
      <sz val="11"/>
      <color theme="10"/>
      <name val="Flexo"/>
      <family val="2"/>
      <scheme val="minor"/>
    </font>
    <font>
      <b/>
      <sz val="11"/>
      <name val="Flexo"/>
      <family val="2"/>
      <scheme val="minor"/>
    </font>
    <font>
      <sz val="10"/>
      <color theme="1"/>
      <name val="Flexo"/>
      <family val="2"/>
      <scheme val="minor"/>
    </font>
    <font>
      <sz val="11"/>
      <name val="Calibri"/>
      <family val="2"/>
    </font>
    <font>
      <sz val="10"/>
      <color theme="7"/>
      <name val="Arial"/>
      <family val="2"/>
    </font>
    <font>
      <b/>
      <sz val="12"/>
      <name val="Arial"/>
      <family val="2"/>
    </font>
    <font>
      <b/>
      <sz val="12"/>
      <color theme="4"/>
      <name val="Arial"/>
      <family val="2"/>
    </font>
    <font>
      <sz val="10"/>
      <color theme="4"/>
      <name val="Arial"/>
      <family val="2"/>
    </font>
    <font>
      <u/>
      <sz val="10"/>
      <color theme="10"/>
      <name val="Flexo"/>
      <family val="2"/>
      <scheme val="minor"/>
    </font>
    <font>
      <sz val="11"/>
      <name val="Flexo"/>
      <family val="3"/>
      <scheme val="minor"/>
    </font>
    <font>
      <b/>
      <sz val="16"/>
      <color theme="4"/>
      <name val="Arial"/>
      <family val="2"/>
    </font>
    <font>
      <b/>
      <sz val="10"/>
      <name val="Arial"/>
      <family val="2"/>
    </font>
    <font>
      <b/>
      <sz val="10"/>
      <color theme="4"/>
      <name val="Arial"/>
      <family val="2"/>
    </font>
    <font>
      <b/>
      <sz val="14"/>
      <name val="Flexo"/>
      <family val="3"/>
      <scheme val="minor"/>
    </font>
    <font>
      <b/>
      <sz val="11"/>
      <color theme="4" tint="0.39997558519241921"/>
      <name val="Flexo"/>
      <family val="3"/>
      <scheme val="minor"/>
    </font>
    <font>
      <b/>
      <u/>
      <sz val="11"/>
      <color theme="1"/>
      <name val="Flexo"/>
      <family val="3"/>
      <scheme val="minor"/>
    </font>
    <font>
      <sz val="11"/>
      <color rgb="FF00B050"/>
      <name val="Flexo"/>
      <family val="2"/>
      <scheme val="minor"/>
    </font>
  </fonts>
  <fills count="15">
    <fill>
      <patternFill patternType="none"/>
    </fill>
    <fill>
      <patternFill patternType="gray125"/>
    </fill>
    <fill>
      <patternFill patternType="solid">
        <fgColor theme="9" tint="0.59999389629810485"/>
        <bgColor indexed="65"/>
      </patternFill>
    </fill>
    <fill>
      <patternFill patternType="solid">
        <fgColor theme="9" tint="0.79998168889431442"/>
        <bgColor indexed="64"/>
      </patternFill>
    </fill>
    <fill>
      <patternFill patternType="solid">
        <fgColor theme="4" tint="0.39997558519241921"/>
        <bgColor indexed="64"/>
      </patternFill>
    </fill>
    <fill>
      <patternFill patternType="solid">
        <fgColor theme="0" tint="-9.9978637043366805E-2"/>
        <bgColor indexed="64"/>
      </patternFill>
    </fill>
    <fill>
      <patternFill patternType="solid">
        <fgColor theme="0"/>
        <bgColor indexed="64"/>
      </patternFill>
    </fill>
    <fill>
      <patternFill patternType="solid">
        <fgColor theme="4"/>
        <bgColor theme="4"/>
      </patternFill>
    </fill>
    <fill>
      <patternFill patternType="solid">
        <fgColor theme="4" tint="0.79998168889431442"/>
        <bgColor indexed="64"/>
      </patternFill>
    </fill>
    <fill>
      <patternFill patternType="solid">
        <fgColor rgb="FFFFFF00"/>
        <bgColor indexed="64"/>
      </patternFill>
    </fill>
    <fill>
      <patternFill patternType="solid">
        <fgColor rgb="FFB5B8C7"/>
        <bgColor indexed="64"/>
      </patternFill>
    </fill>
    <fill>
      <patternFill patternType="solid">
        <fgColor theme="9" tint="0.59999389629810485"/>
        <bgColor indexed="64"/>
      </patternFill>
    </fill>
    <fill>
      <patternFill patternType="solid">
        <fgColor theme="2"/>
        <bgColor indexed="64"/>
      </patternFill>
    </fill>
    <fill>
      <patternFill patternType="solid">
        <fgColor rgb="FFFFFFFF"/>
        <bgColor indexed="64"/>
      </patternFill>
    </fill>
    <fill>
      <patternFill patternType="solid">
        <fgColor rgb="FFF8F8F8"/>
        <bgColor indexed="64"/>
      </patternFill>
    </fill>
  </fills>
  <borders count="57">
    <border>
      <left/>
      <right/>
      <top/>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top/>
      <bottom style="medium">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thin">
        <color theme="4"/>
      </bottom>
      <diagonal/>
    </border>
    <border>
      <left/>
      <right/>
      <top style="thin">
        <color theme="4"/>
      </top>
      <bottom/>
      <diagonal/>
    </border>
    <border>
      <left/>
      <right/>
      <top/>
      <bottom style="medium">
        <color indexed="64"/>
      </bottom>
      <diagonal/>
    </border>
    <border>
      <left style="thin">
        <color theme="4" tint="0.39997558519241921"/>
      </left>
      <right/>
      <top/>
      <bottom style="medium">
        <color indexed="64"/>
      </bottom>
      <diagonal/>
    </border>
    <border>
      <left/>
      <right/>
      <top style="thin">
        <color theme="1"/>
      </top>
      <bottom/>
      <diagonal/>
    </border>
    <border>
      <left/>
      <right style="thin">
        <color theme="1"/>
      </right>
      <top/>
      <bottom/>
      <diagonal/>
    </border>
    <border>
      <left style="thin">
        <color theme="1"/>
      </left>
      <right/>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s>
  <cellStyleXfs count="37">
    <xf numFmtId="0" fontId="0" fillId="0" borderId="0"/>
    <xf numFmtId="9" fontId="1" fillId="0" borderId="0" applyFont="0" applyFill="0" applyBorder="0" applyAlignment="0" applyProtection="0"/>
    <xf numFmtId="0" fontId="3" fillId="0" borderId="0"/>
    <xf numFmtId="0" fontId="4" fillId="0" borderId="0" applyNumberFormat="0" applyFill="0" applyBorder="0" applyProtection="0">
      <alignment vertical="center"/>
    </xf>
    <xf numFmtId="0" fontId="5" fillId="0" borderId="0"/>
    <xf numFmtId="0" fontId="4" fillId="0" borderId="0"/>
    <xf numFmtId="0" fontId="1" fillId="0" borderId="0"/>
    <xf numFmtId="0" fontId="6" fillId="0" borderId="0"/>
    <xf numFmtId="0" fontId="4" fillId="0" borderId="0" applyNumberFormat="0" applyFill="0" applyBorder="0" applyProtection="0">
      <alignment vertical="center"/>
    </xf>
    <xf numFmtId="0" fontId="4" fillId="0" borderId="0" applyNumberFormat="0" applyFill="0" applyBorder="0" applyProtection="0">
      <alignment vertical="center"/>
    </xf>
    <xf numFmtId="0" fontId="4" fillId="0" borderId="0" applyNumberFormat="0" applyFill="0" applyBorder="0" applyProtection="0">
      <alignment vertical="center"/>
    </xf>
    <xf numFmtId="0" fontId="4" fillId="0" borderId="0" applyNumberFormat="0" applyFill="0" applyBorder="0" applyProtection="0">
      <alignment vertical="center"/>
    </xf>
    <xf numFmtId="0" fontId="4" fillId="0" borderId="0" applyNumberFormat="0" applyFill="0" applyBorder="0" applyProtection="0">
      <alignment vertical="center"/>
    </xf>
    <xf numFmtId="0" fontId="1" fillId="0" borderId="0"/>
    <xf numFmtId="0" fontId="6" fillId="0" borderId="0"/>
    <xf numFmtId="0" fontId="4" fillId="0" borderId="0" applyNumberFormat="0" applyFill="0" applyBorder="0" applyProtection="0">
      <alignment vertical="center"/>
    </xf>
    <xf numFmtId="0" fontId="4" fillId="0" borderId="0" applyNumberFormat="0" applyFill="0" applyBorder="0" applyProtection="0">
      <alignment vertical="center"/>
    </xf>
    <xf numFmtId="0" fontId="5" fillId="0" borderId="0"/>
    <xf numFmtId="167" fontId="4" fillId="0" borderId="0" applyFill="0" applyBorder="0" applyProtection="0">
      <alignment horizontal="right"/>
    </xf>
    <xf numFmtId="0" fontId="6" fillId="0" borderId="0"/>
    <xf numFmtId="0" fontId="6" fillId="0" borderId="0"/>
    <xf numFmtId="0" fontId="5" fillId="0" borderId="0"/>
    <xf numFmtId="0" fontId="7" fillId="0" borderId="0"/>
    <xf numFmtId="0" fontId="8" fillId="0" borderId="0"/>
    <xf numFmtId="167" fontId="9" fillId="0" borderId="0" applyFill="0" applyBorder="0" applyProtection="0">
      <alignment horizontal="right"/>
    </xf>
    <xf numFmtId="9" fontId="10" fillId="0" borderId="0" applyFont="0" applyFill="0" applyBorder="0" applyAlignment="0" applyProtection="0"/>
    <xf numFmtId="0" fontId="6" fillId="0" borderId="0"/>
    <xf numFmtId="0" fontId="11" fillId="0" borderId="0" applyNumberFormat="0" applyFill="0" applyBorder="0" applyAlignment="0" applyProtection="0">
      <alignment vertical="center"/>
    </xf>
    <xf numFmtId="0" fontId="3" fillId="0" borderId="0"/>
    <xf numFmtId="0" fontId="1" fillId="0" borderId="0"/>
    <xf numFmtId="0" fontId="1" fillId="0" borderId="0"/>
    <xf numFmtId="0" fontId="6" fillId="0" borderId="0"/>
    <xf numFmtId="0" fontId="1" fillId="2" borderId="0" applyNumberFormat="0" applyBorder="0" applyAlignment="0" applyProtection="0"/>
    <xf numFmtId="164" fontId="1" fillId="0" borderId="0" applyFont="0" applyFill="0" applyBorder="0" applyAlignment="0" applyProtection="0"/>
    <xf numFmtId="164" fontId="20" fillId="0" borderId="0" applyFont="0" applyFill="0" applyBorder="0" applyAlignment="0" applyProtection="0"/>
    <xf numFmtId="0" fontId="23" fillId="0" borderId="0" applyNumberFormat="0" applyFill="0" applyBorder="0" applyAlignment="0" applyProtection="0"/>
    <xf numFmtId="0" fontId="26" fillId="0" borderId="0"/>
  </cellStyleXfs>
  <cellXfs count="394">
    <xf numFmtId="0" fontId="0" fillId="0" borderId="0" xfId="0"/>
    <xf numFmtId="0" fontId="0" fillId="0" borderId="1" xfId="0" applyBorder="1"/>
    <xf numFmtId="0" fontId="0" fillId="0" borderId="2" xfId="0" applyBorder="1"/>
    <xf numFmtId="0" fontId="0" fillId="0" borderId="5" xfId="0" applyBorder="1"/>
    <xf numFmtId="3" fontId="0" fillId="0" borderId="0" xfId="0" applyNumberFormat="1"/>
    <xf numFmtId="165" fontId="0" fillId="0" borderId="0" xfId="0" applyNumberFormat="1"/>
    <xf numFmtId="0" fontId="0" fillId="0" borderId="8" xfId="0" applyBorder="1"/>
    <xf numFmtId="0" fontId="0" fillId="0" borderId="3" xfId="0" applyBorder="1"/>
    <xf numFmtId="0" fontId="0" fillId="0" borderId="9" xfId="0" applyBorder="1"/>
    <xf numFmtId="9" fontId="0" fillId="0" borderId="4" xfId="1" applyFont="1" applyBorder="1"/>
    <xf numFmtId="9" fontId="0" fillId="0" borderId="7" xfId="1" applyFont="1" applyBorder="1"/>
    <xf numFmtId="0" fontId="0" fillId="0" borderId="15" xfId="0" applyBorder="1"/>
    <xf numFmtId="0" fontId="0" fillId="0" borderId="0" xfId="0" applyAlignment="1">
      <alignment horizontal="center"/>
    </xf>
    <xf numFmtId="169" fontId="0" fillId="0" borderId="3" xfId="33" applyNumberFormat="1" applyFont="1" applyBorder="1"/>
    <xf numFmtId="169" fontId="0" fillId="0" borderId="4" xfId="33" applyNumberFormat="1" applyFont="1" applyBorder="1"/>
    <xf numFmtId="169" fontId="0" fillId="0" borderId="12" xfId="33" applyNumberFormat="1" applyFont="1" applyBorder="1"/>
    <xf numFmtId="169" fontId="0" fillId="0" borderId="6" xfId="33" applyNumberFormat="1" applyFont="1" applyBorder="1"/>
    <xf numFmtId="169" fontId="0" fillId="0" borderId="7" xfId="33" applyNumberFormat="1" applyFont="1" applyBorder="1"/>
    <xf numFmtId="0" fontId="0" fillId="0" borderId="14" xfId="0" applyBorder="1"/>
    <xf numFmtId="0" fontId="2" fillId="0" borderId="9" xfId="0" applyFont="1" applyBorder="1" applyAlignment="1">
      <alignment horizontal="center"/>
    </xf>
    <xf numFmtId="0" fontId="2" fillId="0" borderId="10" xfId="0" applyFont="1" applyBorder="1" applyAlignment="1">
      <alignment horizontal="center"/>
    </xf>
    <xf numFmtId="0" fontId="2" fillId="0" borderId="11" xfId="0" applyFont="1" applyBorder="1" applyAlignment="1">
      <alignment horizontal="center"/>
    </xf>
    <xf numFmtId="168" fontId="0" fillId="0" borderId="4" xfId="0" applyNumberFormat="1" applyBorder="1" applyAlignment="1">
      <alignment horizontal="center" vertical="center"/>
    </xf>
    <xf numFmtId="168" fontId="2" fillId="0" borderId="4" xfId="0" applyNumberFormat="1" applyFont="1" applyBorder="1" applyAlignment="1">
      <alignment horizontal="center" vertical="center"/>
    </xf>
    <xf numFmtId="168" fontId="13" fillId="0" borderId="7" xfId="0" applyNumberFormat="1" applyFont="1" applyBorder="1" applyAlignment="1">
      <alignment horizontal="center" vertical="center"/>
    </xf>
    <xf numFmtId="0" fontId="12" fillId="0" borderId="9" xfId="0" applyFont="1" applyBorder="1" applyAlignment="1">
      <alignment horizontal="center"/>
    </xf>
    <xf numFmtId="10" fontId="0" fillId="0" borderId="15" xfId="1" applyNumberFormat="1" applyFont="1" applyBorder="1" applyAlignment="1">
      <alignment horizontal="center"/>
    </xf>
    <xf numFmtId="10" fontId="0" fillId="0" borderId="2" xfId="1" applyNumberFormat="1" applyFont="1" applyBorder="1" applyAlignment="1">
      <alignment horizontal="center"/>
    </xf>
    <xf numFmtId="10" fontId="0" fillId="0" borderId="5" xfId="1" applyNumberFormat="1" applyFont="1" applyBorder="1" applyAlignment="1">
      <alignment horizontal="center"/>
    </xf>
    <xf numFmtId="169" fontId="0" fillId="0" borderId="0" xfId="0" applyNumberFormat="1"/>
    <xf numFmtId="168" fontId="0" fillId="0" borderId="14" xfId="0" applyNumberFormat="1" applyBorder="1" applyAlignment="1">
      <alignment horizontal="center" vertical="center"/>
    </xf>
    <xf numFmtId="3" fontId="0" fillId="0" borderId="0" xfId="0" applyNumberFormat="1" applyAlignment="1">
      <alignment horizontal="center"/>
    </xf>
    <xf numFmtId="0" fontId="12" fillId="0" borderId="0" xfId="0" applyFont="1" applyAlignment="1">
      <alignment horizontal="right"/>
    </xf>
    <xf numFmtId="9" fontId="12" fillId="0" borderId="0" xfId="1" applyFont="1" applyAlignment="1">
      <alignment horizontal="center"/>
    </xf>
    <xf numFmtId="0" fontId="12" fillId="0" borderId="12" xfId="0" applyFont="1" applyBorder="1" applyAlignment="1">
      <alignment vertical="top"/>
    </xf>
    <xf numFmtId="0" fontId="0" fillId="0" borderId="13" xfId="0" applyBorder="1" applyAlignment="1">
      <alignment vertical="top"/>
    </xf>
    <xf numFmtId="0" fontId="12" fillId="0" borderId="3" xfId="0" applyFont="1" applyBorder="1" applyAlignment="1">
      <alignment vertical="top"/>
    </xf>
    <xf numFmtId="0" fontId="12" fillId="0" borderId="6" xfId="0" applyFont="1" applyBorder="1" applyAlignment="1">
      <alignment vertical="center"/>
    </xf>
    <xf numFmtId="0" fontId="0" fillId="0" borderId="0" xfId="0" applyAlignment="1">
      <alignment horizontal="left" vertical="center"/>
    </xf>
    <xf numFmtId="168" fontId="13" fillId="0" borderId="0" xfId="0" applyNumberFormat="1" applyFont="1" applyAlignment="1">
      <alignment horizontal="center" vertical="center"/>
    </xf>
    <xf numFmtId="0" fontId="0" fillId="5" borderId="0" xfId="0" applyFill="1"/>
    <xf numFmtId="0" fontId="13" fillId="3" borderId="10" xfId="0" applyFont="1" applyFill="1" applyBorder="1" applyAlignment="1">
      <alignment horizontal="center" vertical="center"/>
    </xf>
    <xf numFmtId="0" fontId="13" fillId="3" borderId="11" xfId="0" applyFont="1" applyFill="1" applyBorder="1" applyAlignment="1">
      <alignment horizontal="center" vertical="center"/>
    </xf>
    <xf numFmtId="0" fontId="12" fillId="0" borderId="10" xfId="0" applyFont="1" applyBorder="1" applyAlignment="1">
      <alignment horizontal="center"/>
    </xf>
    <xf numFmtId="0" fontId="0" fillId="0" borderId="1" xfId="0" applyBorder="1" applyAlignment="1">
      <alignment horizontal="center"/>
    </xf>
    <xf numFmtId="0" fontId="2" fillId="0" borderId="18" xfId="0" applyFont="1" applyBorder="1" applyAlignment="1">
      <alignment horizontal="center"/>
    </xf>
    <xf numFmtId="0" fontId="0" fillId="0" borderId="12" xfId="0" applyBorder="1"/>
    <xf numFmtId="0" fontId="0" fillId="0" borderId="7" xfId="0" applyBorder="1"/>
    <xf numFmtId="0" fontId="12" fillId="0" borderId="25" xfId="0" applyFont="1" applyBorder="1" applyAlignment="1">
      <alignment horizontal="center"/>
    </xf>
    <xf numFmtId="169" fontId="0" fillId="0" borderId="12" xfId="33" applyNumberFormat="1" applyFont="1" applyBorder="1" applyAlignment="1">
      <alignment horizontal="center"/>
    </xf>
    <xf numFmtId="169" fontId="0" fillId="0" borderId="26" xfId="33" applyNumberFormat="1" applyFont="1" applyBorder="1" applyAlignment="1">
      <alignment horizontal="center"/>
    </xf>
    <xf numFmtId="169" fontId="0" fillId="0" borderId="3" xfId="33" applyNumberFormat="1" applyFont="1" applyBorder="1" applyAlignment="1">
      <alignment horizontal="center"/>
    </xf>
    <xf numFmtId="169" fontId="0" fillId="0" borderId="28" xfId="33" applyNumberFormat="1" applyFont="1" applyBorder="1" applyAlignment="1">
      <alignment horizontal="center"/>
    </xf>
    <xf numFmtId="169" fontId="0" fillId="0" borderId="6" xfId="33" applyNumberFormat="1" applyFont="1" applyBorder="1" applyAlignment="1">
      <alignment horizontal="center"/>
    </xf>
    <xf numFmtId="169" fontId="0" fillId="0" borderId="29" xfId="33" applyNumberFormat="1" applyFont="1" applyBorder="1" applyAlignment="1">
      <alignment horizontal="center"/>
    </xf>
    <xf numFmtId="169" fontId="0" fillId="0" borderId="0" xfId="33" applyNumberFormat="1" applyFont="1" applyBorder="1" applyAlignment="1">
      <alignment horizontal="center"/>
    </xf>
    <xf numFmtId="169" fontId="0" fillId="0" borderId="21" xfId="33" applyNumberFormat="1" applyFont="1" applyBorder="1" applyAlignment="1">
      <alignment horizontal="center"/>
    </xf>
    <xf numFmtId="169" fontId="0" fillId="0" borderId="22" xfId="33" applyNumberFormat="1" applyFont="1" applyBorder="1" applyAlignment="1">
      <alignment horizontal="center"/>
    </xf>
    <xf numFmtId="169" fontId="0" fillId="0" borderId="23" xfId="33" applyNumberFormat="1" applyFont="1" applyBorder="1" applyAlignment="1">
      <alignment horizontal="center"/>
    </xf>
    <xf numFmtId="169" fontId="0" fillId="0" borderId="30" xfId="33" applyNumberFormat="1" applyFont="1" applyBorder="1" applyAlignment="1">
      <alignment horizontal="center"/>
    </xf>
    <xf numFmtId="0" fontId="0" fillId="0" borderId="0" xfId="0" applyAlignment="1">
      <alignment horizontal="right"/>
    </xf>
    <xf numFmtId="169" fontId="0" fillId="0" borderId="13" xfId="33" applyNumberFormat="1" applyFont="1" applyBorder="1" applyAlignment="1">
      <alignment horizontal="center"/>
    </xf>
    <xf numFmtId="169" fontId="0" fillId="0" borderId="1" xfId="33" applyNumberFormat="1" applyFont="1" applyBorder="1" applyAlignment="1">
      <alignment horizontal="center"/>
    </xf>
    <xf numFmtId="0" fontId="13" fillId="3" borderId="9" xfId="0" applyFont="1" applyFill="1" applyBorder="1" applyAlignment="1">
      <alignment horizontal="center" vertical="center"/>
    </xf>
    <xf numFmtId="0" fontId="0" fillId="3" borderId="8" xfId="0" applyFill="1" applyBorder="1" applyAlignment="1">
      <alignment horizontal="center" vertical="center" wrapText="1"/>
    </xf>
    <xf numFmtId="0" fontId="0" fillId="3" borderId="14" xfId="0" applyFill="1" applyBorder="1" applyAlignment="1">
      <alignment horizontal="center" vertical="center" wrapText="1"/>
    </xf>
    <xf numFmtId="165" fontId="0" fillId="0" borderId="2" xfId="0" applyNumberFormat="1" applyBorder="1"/>
    <xf numFmtId="165" fontId="0" fillId="0" borderId="8" xfId="0" applyNumberFormat="1" applyBorder="1"/>
    <xf numFmtId="0" fontId="2" fillId="0" borderId="24" xfId="0" applyFont="1" applyBorder="1" applyAlignment="1">
      <alignment horizontal="center"/>
    </xf>
    <xf numFmtId="169" fontId="0" fillId="0" borderId="0" xfId="33" applyNumberFormat="1" applyFont="1" applyBorder="1"/>
    <xf numFmtId="169" fontId="0" fillId="0" borderId="22" xfId="33" applyNumberFormat="1" applyFont="1" applyBorder="1"/>
    <xf numFmtId="169" fontId="0" fillId="0" borderId="21" xfId="33" applyNumberFormat="1" applyFont="1" applyBorder="1"/>
    <xf numFmtId="169" fontId="0" fillId="0" borderId="33" xfId="33" applyNumberFormat="1" applyFont="1" applyBorder="1" applyAlignment="1">
      <alignment horizontal="center"/>
    </xf>
    <xf numFmtId="0" fontId="12" fillId="0" borderId="24" xfId="0" applyFont="1" applyBorder="1" applyAlignment="1">
      <alignment horizontal="center"/>
    </xf>
    <xf numFmtId="169" fontId="0" fillId="0" borderId="19" xfId="33" applyNumberFormat="1" applyFont="1" applyBorder="1" applyAlignment="1">
      <alignment horizontal="center"/>
    </xf>
    <xf numFmtId="169" fontId="0" fillId="0" borderId="27" xfId="33" applyNumberFormat="1" applyFont="1" applyBorder="1"/>
    <xf numFmtId="169" fontId="0" fillId="0" borderId="28" xfId="33" applyNumberFormat="1" applyFont="1" applyBorder="1"/>
    <xf numFmtId="169" fontId="0" fillId="0" borderId="35" xfId="33" applyNumberFormat="1" applyFont="1" applyBorder="1"/>
    <xf numFmtId="169" fontId="0" fillId="0" borderId="29" xfId="33" applyNumberFormat="1" applyFont="1" applyBorder="1"/>
    <xf numFmtId="169" fontId="0" fillId="0" borderId="20" xfId="33" applyNumberFormat="1" applyFont="1" applyBorder="1" applyAlignment="1">
      <alignment horizontal="center"/>
    </xf>
    <xf numFmtId="169" fontId="0" fillId="0" borderId="31" xfId="33" applyNumberFormat="1" applyFont="1" applyBorder="1"/>
    <xf numFmtId="169" fontId="0" fillId="0" borderId="36" xfId="33" applyNumberFormat="1" applyFont="1" applyBorder="1"/>
    <xf numFmtId="169" fontId="0" fillId="0" borderId="30" xfId="33" applyNumberFormat="1" applyFont="1" applyBorder="1"/>
    <xf numFmtId="169" fontId="0" fillId="0" borderId="1" xfId="33" applyNumberFormat="1" applyFont="1" applyBorder="1"/>
    <xf numFmtId="10" fontId="0" fillId="0" borderId="0" xfId="0" applyNumberFormat="1"/>
    <xf numFmtId="0" fontId="2" fillId="3" borderId="34" xfId="0" applyFont="1" applyFill="1" applyBorder="1" applyAlignment="1">
      <alignment vertical="center" wrapText="1"/>
    </xf>
    <xf numFmtId="166" fontId="2" fillId="3" borderId="17" xfId="1" applyNumberFormat="1" applyFont="1" applyFill="1" applyBorder="1" applyAlignment="1">
      <alignment vertical="center" wrapText="1"/>
    </xf>
    <xf numFmtId="9" fontId="2" fillId="3" borderId="17" xfId="1" applyFont="1" applyFill="1" applyBorder="1" applyAlignment="1">
      <alignment vertical="center" wrapText="1"/>
    </xf>
    <xf numFmtId="0" fontId="2" fillId="3" borderId="15" xfId="0" applyFont="1" applyFill="1" applyBorder="1" applyAlignment="1">
      <alignment horizontal="center" vertical="center" wrapText="1"/>
    </xf>
    <xf numFmtId="0" fontId="0" fillId="6" borderId="0" xfId="0" applyFill="1"/>
    <xf numFmtId="0" fontId="14" fillId="0" borderId="0" xfId="0" applyFont="1"/>
    <xf numFmtId="165" fontId="0" fillId="5" borderId="0" xfId="0" applyNumberFormat="1" applyFill="1"/>
    <xf numFmtId="9" fontId="0" fillId="5" borderId="0" xfId="1" applyFont="1" applyFill="1" applyBorder="1"/>
    <xf numFmtId="0" fontId="0" fillId="0" borderId="4" xfId="0" applyBorder="1"/>
    <xf numFmtId="169" fontId="0" fillId="0" borderId="15" xfId="33" applyNumberFormat="1" applyFont="1" applyBorder="1"/>
    <xf numFmtId="0" fontId="2" fillId="0" borderId="1" xfId="0" applyFont="1" applyBorder="1" applyAlignment="1">
      <alignment horizontal="center"/>
    </xf>
    <xf numFmtId="169" fontId="0" fillId="0" borderId="2" xfId="33" applyNumberFormat="1" applyFont="1" applyBorder="1"/>
    <xf numFmtId="169" fontId="0" fillId="0" borderId="5" xfId="33" applyNumberFormat="1" applyFont="1" applyBorder="1"/>
    <xf numFmtId="0" fontId="0" fillId="0" borderId="19" xfId="0" applyBorder="1"/>
    <xf numFmtId="0" fontId="0" fillId="0" borderId="20" xfId="0" applyBorder="1"/>
    <xf numFmtId="0" fontId="0" fillId="0" borderId="41" xfId="0" applyBorder="1"/>
    <xf numFmtId="0" fontId="0" fillId="0" borderId="42" xfId="0" applyBorder="1"/>
    <xf numFmtId="0" fontId="0" fillId="0" borderId="40" xfId="0" applyBorder="1"/>
    <xf numFmtId="0" fontId="0" fillId="6" borderId="0" xfId="0" applyFill="1" applyAlignment="1">
      <alignment horizontal="right"/>
    </xf>
    <xf numFmtId="0" fontId="12" fillId="6" borderId="0" xfId="0" applyFont="1" applyFill="1" applyAlignment="1">
      <alignment horizontal="right"/>
    </xf>
    <xf numFmtId="0" fontId="12" fillId="0" borderId="1" xfId="0" applyFont="1" applyBorder="1" applyAlignment="1">
      <alignment horizontal="center"/>
    </xf>
    <xf numFmtId="0" fontId="2" fillId="0" borderId="6" xfId="0" applyFont="1" applyBorder="1" applyAlignment="1">
      <alignment horizontal="center"/>
    </xf>
    <xf numFmtId="0" fontId="2" fillId="0" borderId="7" xfId="0" applyFont="1" applyBorder="1" applyAlignment="1">
      <alignment horizontal="center"/>
    </xf>
    <xf numFmtId="0" fontId="12" fillId="0" borderId="6" xfId="0" applyFont="1" applyBorder="1" applyAlignment="1">
      <alignment horizontal="center"/>
    </xf>
    <xf numFmtId="0" fontId="0" fillId="0" borderId="13" xfId="0" applyBorder="1"/>
    <xf numFmtId="0" fontId="0" fillId="3" borderId="8" xfId="33" applyNumberFormat="1" applyFont="1" applyFill="1" applyBorder="1" applyAlignment="1">
      <alignment horizontal="center" vertical="center" wrapText="1"/>
    </xf>
    <xf numFmtId="165" fontId="0" fillId="0" borderId="5" xfId="0" applyNumberFormat="1" applyBorder="1"/>
    <xf numFmtId="0" fontId="2" fillId="0" borderId="5" xfId="0" applyFont="1" applyBorder="1" applyAlignment="1">
      <alignment horizontal="center"/>
    </xf>
    <xf numFmtId="169" fontId="0" fillId="0" borderId="13" xfId="33" applyNumberFormat="1" applyFont="1" applyBorder="1"/>
    <xf numFmtId="0" fontId="12" fillId="0" borderId="7" xfId="0" applyFont="1" applyBorder="1" applyAlignment="1">
      <alignment horizontal="center"/>
    </xf>
    <xf numFmtId="0" fontId="12" fillId="0" borderId="42" xfId="0" applyFont="1" applyBorder="1" applyAlignment="1">
      <alignment horizontal="center"/>
    </xf>
    <xf numFmtId="0" fontId="12" fillId="0" borderId="32" xfId="0" applyFont="1" applyBorder="1" applyAlignment="1">
      <alignment horizontal="center"/>
    </xf>
    <xf numFmtId="169" fontId="0" fillId="0" borderId="33" xfId="33" applyNumberFormat="1" applyFont="1" applyBorder="1"/>
    <xf numFmtId="0" fontId="0" fillId="0" borderId="0" xfId="0" pivotButton="1"/>
    <xf numFmtId="0" fontId="0" fillId="0" borderId="0" xfId="0" applyAlignment="1">
      <alignment horizontal="left"/>
    </xf>
    <xf numFmtId="0" fontId="18" fillId="0" borderId="0" xfId="0" applyFont="1" applyAlignment="1">
      <alignment horizontal="left" vertical="center" readingOrder="1"/>
    </xf>
    <xf numFmtId="0" fontId="2" fillId="3" borderId="37" xfId="0" applyFont="1" applyFill="1" applyBorder="1" applyAlignment="1">
      <alignment horizontal="center" vertical="center" wrapText="1"/>
    </xf>
    <xf numFmtId="0" fontId="12" fillId="0" borderId="35" xfId="0" applyFont="1" applyBorder="1" applyAlignment="1">
      <alignment horizontal="center"/>
    </xf>
    <xf numFmtId="0" fontId="2" fillId="0" borderId="29" xfId="0" applyFont="1" applyBorder="1" applyAlignment="1">
      <alignment horizontal="center"/>
    </xf>
    <xf numFmtId="169" fontId="0" fillId="0" borderId="43" xfId="33" applyNumberFormat="1" applyFont="1" applyBorder="1" applyAlignment="1">
      <alignment horizontal="center"/>
    </xf>
    <xf numFmtId="0" fontId="0" fillId="0" borderId="0" xfId="0" quotePrefix="1"/>
    <xf numFmtId="0" fontId="0" fillId="3" borderId="11" xfId="0" applyFill="1" applyBorder="1" applyAlignment="1">
      <alignment horizontal="center"/>
    </xf>
    <xf numFmtId="0" fontId="13" fillId="3" borderId="13" xfId="0" applyFont="1" applyFill="1" applyBorder="1" applyAlignment="1">
      <alignment horizontal="center" vertical="center"/>
    </xf>
    <xf numFmtId="171" fontId="0" fillId="0" borderId="0" xfId="0" applyNumberFormat="1"/>
    <xf numFmtId="169" fontId="0" fillId="0" borderId="44" xfId="33" applyNumberFormat="1" applyFont="1" applyBorder="1"/>
    <xf numFmtId="171" fontId="0" fillId="0" borderId="13" xfId="33" applyNumberFormat="1" applyFont="1" applyBorder="1"/>
    <xf numFmtId="0" fontId="2" fillId="0" borderId="13" xfId="0" applyFont="1" applyBorder="1" applyAlignment="1">
      <alignment horizontal="center"/>
    </xf>
    <xf numFmtId="171" fontId="0" fillId="0" borderId="3" xfId="0" applyNumberFormat="1" applyBorder="1"/>
    <xf numFmtId="171" fontId="0" fillId="0" borderId="6" xfId="0" applyNumberFormat="1" applyBorder="1"/>
    <xf numFmtId="172" fontId="0" fillId="0" borderId="3" xfId="0" applyNumberFormat="1" applyBorder="1"/>
    <xf numFmtId="172" fontId="0" fillId="0" borderId="6" xfId="0" applyNumberFormat="1" applyBorder="1"/>
    <xf numFmtId="0" fontId="2" fillId="3" borderId="37" xfId="0" applyFont="1" applyFill="1" applyBorder="1" applyAlignment="1">
      <alignment vertical="center" wrapText="1"/>
    </xf>
    <xf numFmtId="168" fontId="0" fillId="0" borderId="0" xfId="0" applyNumberFormat="1"/>
    <xf numFmtId="0" fontId="0" fillId="0" borderId="46" xfId="0" applyBorder="1"/>
    <xf numFmtId="0" fontId="2" fillId="0" borderId="0" xfId="0" applyFont="1" applyAlignment="1">
      <alignment horizontal="center" vertical="center" wrapText="1"/>
    </xf>
    <xf numFmtId="0" fontId="0" fillId="0" borderId="0" xfId="0" applyAlignment="1">
      <alignment vertical="center" wrapText="1"/>
    </xf>
    <xf numFmtId="0" fontId="22" fillId="3" borderId="17" xfId="0" applyFont="1" applyFill="1" applyBorder="1" applyAlignment="1">
      <alignment vertical="center" wrapText="1"/>
    </xf>
    <xf numFmtId="0" fontId="0" fillId="0" borderId="0" xfId="1" applyNumberFormat="1" applyFont="1"/>
    <xf numFmtId="0" fontId="23" fillId="0" borderId="0" xfId="35"/>
    <xf numFmtId="0" fontId="15" fillId="3" borderId="17" xfId="0" applyFont="1" applyFill="1" applyBorder="1" applyAlignment="1">
      <alignment vertical="center" wrapText="1"/>
    </xf>
    <xf numFmtId="0" fontId="12" fillId="0" borderId="29" xfId="0" applyFont="1" applyBorder="1" applyAlignment="1">
      <alignment horizontal="center"/>
    </xf>
    <xf numFmtId="169" fontId="0" fillId="0" borderId="47" xfId="33" applyNumberFormat="1" applyFont="1" applyBorder="1"/>
    <xf numFmtId="0" fontId="0" fillId="0" borderId="28" xfId="0" applyBorder="1"/>
    <xf numFmtId="0" fontId="0" fillId="0" borderId="47" xfId="0" applyBorder="1"/>
    <xf numFmtId="0" fontId="0" fillId="0" borderId="30" xfId="0" applyBorder="1"/>
    <xf numFmtId="0" fontId="0" fillId="0" borderId="27" xfId="0" applyBorder="1"/>
    <xf numFmtId="0" fontId="0" fillId="0" borderId="36" xfId="0" applyBorder="1"/>
    <xf numFmtId="169" fontId="21" fillId="0" borderId="0" xfId="34" applyNumberFormat="1" applyFont="1" applyBorder="1"/>
    <xf numFmtId="0" fontId="19" fillId="7" borderId="15" xfId="0" applyFont="1" applyFill="1" applyBorder="1"/>
    <xf numFmtId="0" fontId="19" fillId="7" borderId="12" xfId="0" applyFont="1" applyFill="1" applyBorder="1"/>
    <xf numFmtId="0" fontId="19" fillId="7" borderId="13" xfId="0" applyFont="1" applyFill="1" applyBorder="1"/>
    <xf numFmtId="0" fontId="19" fillId="7" borderId="14" xfId="0" applyFont="1" applyFill="1" applyBorder="1"/>
    <xf numFmtId="169" fontId="21" fillId="0" borderId="3" xfId="34" applyNumberFormat="1" applyFont="1" applyBorder="1"/>
    <xf numFmtId="169" fontId="21" fillId="0" borderId="4" xfId="34" applyNumberFormat="1" applyFont="1" applyBorder="1"/>
    <xf numFmtId="169" fontId="0" fillId="0" borderId="9" xfId="0" applyNumberFormat="1" applyBorder="1"/>
    <xf numFmtId="169" fontId="0" fillId="0" borderId="10" xfId="0" applyNumberFormat="1" applyBorder="1"/>
    <xf numFmtId="169" fontId="0" fillId="0" borderId="11" xfId="0" applyNumberFormat="1" applyBorder="1"/>
    <xf numFmtId="1" fontId="0" fillId="0" borderId="47" xfId="0" applyNumberFormat="1" applyBorder="1"/>
    <xf numFmtId="1" fontId="0" fillId="0" borderId="30" xfId="0" applyNumberFormat="1" applyBorder="1"/>
    <xf numFmtId="164" fontId="0" fillId="0" borderId="3" xfId="33" applyFont="1" applyBorder="1"/>
    <xf numFmtId="0" fontId="21" fillId="0" borderId="0" xfId="0" applyFont="1"/>
    <xf numFmtId="0" fontId="0" fillId="0" borderId="0" xfId="0" applyAlignment="1">
      <alignment wrapText="1"/>
    </xf>
    <xf numFmtId="169" fontId="0" fillId="0" borderId="8" xfId="33" applyNumberFormat="1" applyFont="1" applyBorder="1"/>
    <xf numFmtId="169" fontId="0" fillId="0" borderId="2" xfId="0" applyNumberFormat="1" applyBorder="1"/>
    <xf numFmtId="169" fontId="0" fillId="0" borderId="5" xfId="0" applyNumberFormat="1" applyBorder="1"/>
    <xf numFmtId="169" fontId="0" fillId="0" borderId="8" xfId="0" applyNumberFormat="1" applyBorder="1"/>
    <xf numFmtId="0" fontId="0" fillId="3" borderId="0" xfId="33" applyNumberFormat="1" applyFont="1" applyFill="1" applyBorder="1" applyAlignment="1">
      <alignment horizontal="center" vertical="center" wrapText="1"/>
    </xf>
    <xf numFmtId="2" fontId="0" fillId="0" borderId="0" xfId="0" applyNumberFormat="1"/>
    <xf numFmtId="173" fontId="0" fillId="0" borderId="0" xfId="0" applyNumberFormat="1"/>
    <xf numFmtId="0" fontId="0" fillId="9" borderId="0" xfId="0" applyFill="1"/>
    <xf numFmtId="166" fontId="0" fillId="0" borderId="0" xfId="1" applyNumberFormat="1" applyFont="1"/>
    <xf numFmtId="0" fontId="0" fillId="10" borderId="0" xfId="0" applyFill="1"/>
    <xf numFmtId="0" fontId="5" fillId="10" borderId="0" xfId="36" applyFont="1" applyFill="1"/>
    <xf numFmtId="0" fontId="5" fillId="6" borderId="0" xfId="36" applyFont="1" applyFill="1"/>
    <xf numFmtId="0" fontId="5" fillId="6" borderId="0" xfId="36" applyFont="1" applyFill="1" applyAlignment="1">
      <alignment horizontal="left"/>
    </xf>
    <xf numFmtId="0" fontId="29" fillId="6" borderId="0" xfId="36" applyFont="1" applyFill="1" applyAlignment="1">
      <alignment vertical="top"/>
    </xf>
    <xf numFmtId="0" fontId="30" fillId="6" borderId="0" xfId="36" applyFont="1" applyFill="1"/>
    <xf numFmtId="0" fontId="31" fillId="6" borderId="0" xfId="35" applyFont="1" applyFill="1" applyAlignment="1">
      <alignment horizontal="left"/>
    </xf>
    <xf numFmtId="0" fontId="5" fillId="6" borderId="0" xfId="36" quotePrefix="1" applyFont="1" applyFill="1"/>
    <xf numFmtId="0" fontId="20" fillId="0" borderId="0" xfId="0" applyFont="1"/>
    <xf numFmtId="0" fontId="12" fillId="6" borderId="0" xfId="0" applyFont="1" applyFill="1" applyAlignment="1">
      <alignment wrapText="1"/>
    </xf>
    <xf numFmtId="0" fontId="12" fillId="6" borderId="0" xfId="0" applyFont="1" applyFill="1" applyAlignment="1">
      <alignment vertical="center"/>
    </xf>
    <xf numFmtId="0" fontId="13" fillId="6" borderId="0" xfId="0" applyFont="1" applyFill="1"/>
    <xf numFmtId="0" fontId="12" fillId="0" borderId="6" xfId="0" applyFont="1" applyBorder="1" applyAlignment="1">
      <alignment vertical="top"/>
    </xf>
    <xf numFmtId="0" fontId="36" fillId="11" borderId="0" xfId="0" applyFont="1" applyFill="1" applyAlignment="1">
      <alignment vertical="center"/>
    </xf>
    <xf numFmtId="0" fontId="32" fillId="11" borderId="0" xfId="0" applyFont="1" applyFill="1" applyAlignment="1">
      <alignment vertical="center"/>
    </xf>
    <xf numFmtId="0" fontId="0" fillId="0" borderId="0" xfId="0" applyAlignment="1">
      <alignment vertical="center"/>
    </xf>
    <xf numFmtId="0" fontId="12" fillId="6" borderId="0" xfId="0" applyFont="1" applyFill="1" applyAlignment="1">
      <alignment horizontal="left" vertical="center" wrapText="1"/>
    </xf>
    <xf numFmtId="0" fontId="12" fillId="6" borderId="0" xfId="0" applyFont="1" applyFill="1" applyAlignment="1">
      <alignment horizontal="right" vertical="center" wrapText="1"/>
    </xf>
    <xf numFmtId="169" fontId="0" fillId="6" borderId="0" xfId="33" applyNumberFormat="1" applyFont="1" applyFill="1"/>
    <xf numFmtId="0" fontId="0" fillId="12" borderId="0" xfId="0" applyFill="1"/>
    <xf numFmtId="0" fontId="2" fillId="12" borderId="12" xfId="0" applyFont="1" applyFill="1" applyBorder="1" applyAlignment="1">
      <alignment horizontal="right"/>
    </xf>
    <xf numFmtId="0" fontId="13" fillId="12" borderId="13" xfId="0" applyFont="1" applyFill="1" applyBorder="1" applyAlignment="1">
      <alignment horizontal="left"/>
    </xf>
    <xf numFmtId="0" fontId="2" fillId="12" borderId="13" xfId="0" applyFont="1" applyFill="1" applyBorder="1" applyAlignment="1">
      <alignment horizontal="right"/>
    </xf>
    <xf numFmtId="0" fontId="0" fillId="12" borderId="14" xfId="0" applyFill="1" applyBorder="1" applyAlignment="1">
      <alignment horizontal="right"/>
    </xf>
    <xf numFmtId="0" fontId="0" fillId="12" borderId="3" xfId="0" applyFill="1" applyBorder="1" applyAlignment="1">
      <alignment horizontal="right"/>
    </xf>
    <xf numFmtId="0" fontId="0" fillId="12" borderId="4" xfId="0" applyFill="1" applyBorder="1"/>
    <xf numFmtId="0" fontId="0" fillId="12" borderId="3" xfId="0" applyFill="1" applyBorder="1"/>
    <xf numFmtId="0" fontId="0" fillId="12" borderId="6" xfId="0" applyFill="1" applyBorder="1"/>
    <xf numFmtId="0" fontId="0" fillId="12" borderId="1" xfId="0" applyFill="1" applyBorder="1"/>
    <xf numFmtId="0" fontId="0" fillId="12" borderId="7" xfId="0" applyFill="1" applyBorder="1"/>
    <xf numFmtId="0" fontId="0" fillId="12" borderId="13" xfId="0" applyFill="1" applyBorder="1"/>
    <xf numFmtId="0" fontId="0" fillId="12" borderId="14" xfId="0" applyFill="1" applyBorder="1"/>
    <xf numFmtId="0" fontId="12" fillId="12" borderId="0" xfId="0" applyFont="1" applyFill="1"/>
    <xf numFmtId="0" fontId="12" fillId="0" borderId="12" xfId="0" applyFont="1" applyBorder="1" applyAlignment="1">
      <alignment horizontal="right" wrapText="1"/>
    </xf>
    <xf numFmtId="9" fontId="12" fillId="0" borderId="0" xfId="0" applyNumberFormat="1" applyFont="1"/>
    <xf numFmtId="0" fontId="2" fillId="0" borderId="9" xfId="0" applyFont="1" applyBorder="1" applyAlignment="1">
      <alignment horizontal="right"/>
    </xf>
    <xf numFmtId="0" fontId="0" fillId="0" borderId="10" xfId="0" applyBorder="1"/>
    <xf numFmtId="0" fontId="12" fillId="12" borderId="0" xfId="0" applyFont="1" applyFill="1" applyAlignment="1">
      <alignment horizontal="right"/>
    </xf>
    <xf numFmtId="9" fontId="12" fillId="12" borderId="0" xfId="1" applyFont="1" applyFill="1" applyBorder="1" applyAlignment="1">
      <alignment horizontal="center"/>
    </xf>
    <xf numFmtId="0" fontId="32" fillId="12" borderId="0" xfId="0" applyFont="1" applyFill="1" applyAlignment="1">
      <alignment vertical="center"/>
    </xf>
    <xf numFmtId="0" fontId="0" fillId="12" borderId="49" xfId="0" applyFill="1" applyBorder="1"/>
    <xf numFmtId="9" fontId="12" fillId="12" borderId="50" xfId="1" applyFont="1" applyFill="1" applyBorder="1" applyAlignment="1">
      <alignment horizontal="center"/>
    </xf>
    <xf numFmtId="0" fontId="0" fillId="12" borderId="52" xfId="0" applyFill="1" applyBorder="1"/>
    <xf numFmtId="0" fontId="12" fillId="12" borderId="49" xfId="0" applyFont="1" applyFill="1" applyBorder="1"/>
    <xf numFmtId="0" fontId="12" fillId="12" borderId="49" xfId="0" applyFont="1" applyFill="1" applyBorder="1" applyAlignment="1">
      <alignment horizontal="center"/>
    </xf>
    <xf numFmtId="0" fontId="12" fillId="12" borderId="53" xfId="0" applyFont="1" applyFill="1" applyBorder="1" applyAlignment="1">
      <alignment horizontal="center"/>
    </xf>
    <xf numFmtId="0" fontId="0" fillId="12" borderId="51" xfId="0" applyFill="1" applyBorder="1"/>
    <xf numFmtId="0" fontId="0" fillId="12" borderId="54" xfId="0" applyFill="1" applyBorder="1"/>
    <xf numFmtId="168" fontId="13" fillId="12" borderId="55" xfId="0" applyNumberFormat="1" applyFont="1" applyFill="1" applyBorder="1" applyAlignment="1">
      <alignment horizontal="center" vertical="center"/>
    </xf>
    <xf numFmtId="0" fontId="0" fillId="12" borderId="55" xfId="0" applyFill="1" applyBorder="1"/>
    <xf numFmtId="0" fontId="13" fillId="12" borderId="55" xfId="0" applyFont="1" applyFill="1" applyBorder="1" applyAlignment="1">
      <alignment horizontal="right"/>
    </xf>
    <xf numFmtId="170" fontId="13" fillId="12" borderId="55" xfId="1" applyNumberFormat="1" applyFont="1" applyFill="1" applyBorder="1" applyAlignment="1">
      <alignment horizontal="center"/>
    </xf>
    <xf numFmtId="170" fontId="13" fillId="12" borderId="56" xfId="1" applyNumberFormat="1" applyFont="1" applyFill="1" applyBorder="1"/>
    <xf numFmtId="0" fontId="37" fillId="12" borderId="0" xfId="0" applyFont="1" applyFill="1" applyAlignment="1">
      <alignment horizontal="right"/>
    </xf>
    <xf numFmtId="0" fontId="37" fillId="12" borderId="0" xfId="0" applyFont="1" applyFill="1" applyAlignment="1">
      <alignment horizontal="center"/>
    </xf>
    <xf numFmtId="0" fontId="37" fillId="12" borderId="50" xfId="0" applyFont="1" applyFill="1" applyBorder="1" applyAlignment="1">
      <alignment horizontal="center"/>
    </xf>
    <xf numFmtId="0" fontId="12" fillId="12" borderId="51" xfId="0" applyFont="1" applyFill="1" applyBorder="1"/>
    <xf numFmtId="168" fontId="12" fillId="12" borderId="0" xfId="0" applyNumberFormat="1" applyFont="1" applyFill="1" applyAlignment="1">
      <alignment horizontal="center" vertical="center"/>
    </xf>
    <xf numFmtId="9" fontId="12" fillId="12" borderId="0" xfId="1" applyFont="1" applyFill="1" applyBorder="1" applyAlignment="1">
      <alignment horizontal="center" vertical="center"/>
    </xf>
    <xf numFmtId="3" fontId="0" fillId="0" borderId="15" xfId="0" applyNumberFormat="1" applyBorder="1" applyAlignment="1">
      <alignment horizontal="right"/>
    </xf>
    <xf numFmtId="3" fontId="0" fillId="0" borderId="2" xfId="0" applyNumberFormat="1" applyBorder="1" applyAlignment="1">
      <alignment horizontal="right"/>
    </xf>
    <xf numFmtId="3" fontId="0" fillId="0" borderId="5" xfId="0" applyNumberFormat="1" applyBorder="1" applyAlignment="1">
      <alignment horizontal="right"/>
    </xf>
    <xf numFmtId="174" fontId="0" fillId="3" borderId="8" xfId="33" applyNumberFormat="1" applyFont="1" applyFill="1" applyBorder="1" applyAlignment="1">
      <alignment horizontal="center" vertical="center" wrapText="1"/>
    </xf>
    <xf numFmtId="174" fontId="0" fillId="0" borderId="13" xfId="33" applyNumberFormat="1" applyFont="1" applyBorder="1"/>
    <xf numFmtId="174" fontId="0" fillId="0" borderId="0" xfId="33" applyNumberFormat="1" applyFont="1"/>
    <xf numFmtId="174" fontId="0" fillId="0" borderId="1" xfId="33" applyNumberFormat="1" applyFont="1" applyBorder="1"/>
    <xf numFmtId="174" fontId="0" fillId="6" borderId="9" xfId="33" applyNumberFormat="1" applyFont="1" applyFill="1" applyBorder="1" applyAlignment="1">
      <alignment horizontal="center" vertical="center" wrapText="1"/>
    </xf>
    <xf numFmtId="174" fontId="0" fillId="6" borderId="11" xfId="33" applyNumberFormat="1" applyFont="1" applyFill="1" applyBorder="1" applyAlignment="1">
      <alignment horizontal="center" vertical="center" wrapText="1"/>
    </xf>
    <xf numFmtId="174" fontId="0" fillId="6" borderId="8" xfId="33" applyNumberFormat="1" applyFont="1" applyFill="1" applyBorder="1" applyAlignment="1">
      <alignment horizontal="center" vertical="center" wrapText="1"/>
    </xf>
    <xf numFmtId="174" fontId="0" fillId="0" borderId="4" xfId="33" applyNumberFormat="1" applyFont="1" applyBorder="1"/>
    <xf numFmtId="174" fontId="0" fillId="0" borderId="7" xfId="33" applyNumberFormat="1" applyFont="1" applyBorder="1"/>
    <xf numFmtId="168" fontId="0" fillId="0" borderId="0" xfId="0" applyNumberFormat="1" applyAlignment="1">
      <alignment horizontal="right" vertical="center"/>
    </xf>
    <xf numFmtId="168" fontId="0" fillId="0" borderId="13" xfId="0" applyNumberFormat="1" applyBorder="1" applyAlignment="1">
      <alignment horizontal="right" vertical="center"/>
    </xf>
    <xf numFmtId="168" fontId="0" fillId="0" borderId="15" xfId="0" applyNumberFormat="1" applyBorder="1" applyAlignment="1">
      <alignment horizontal="right"/>
    </xf>
    <xf numFmtId="168" fontId="0" fillId="0" borderId="2" xfId="0" applyNumberFormat="1" applyBorder="1" applyAlignment="1">
      <alignment horizontal="right" vertical="center"/>
    </xf>
    <xf numFmtId="168" fontId="2" fillId="0" borderId="1" xfId="0" applyNumberFormat="1" applyFont="1" applyBorder="1" applyAlignment="1">
      <alignment horizontal="right" vertical="center"/>
    </xf>
    <xf numFmtId="168" fontId="12" fillId="0" borderId="5" xfId="0" applyNumberFormat="1" applyFont="1" applyBorder="1" applyAlignment="1">
      <alignment horizontal="right"/>
    </xf>
    <xf numFmtId="168" fontId="2" fillId="0" borderId="12" xfId="0" applyNumberFormat="1" applyFont="1" applyBorder="1" applyAlignment="1">
      <alignment horizontal="right" vertical="center"/>
    </xf>
    <xf numFmtId="168" fontId="2" fillId="0" borderId="13" xfId="0" applyNumberFormat="1" applyFont="1" applyBorder="1" applyAlignment="1">
      <alignment horizontal="right" vertical="center"/>
    </xf>
    <xf numFmtId="168" fontId="12" fillId="0" borderId="8" xfId="0" applyNumberFormat="1" applyFont="1" applyBorder="1" applyAlignment="1">
      <alignment horizontal="right"/>
    </xf>
    <xf numFmtId="168" fontId="0" fillId="0" borderId="12" xfId="0" applyNumberFormat="1" applyBorder="1" applyAlignment="1">
      <alignment horizontal="right" vertical="center"/>
    </xf>
    <xf numFmtId="168" fontId="0" fillId="0" borderId="8" xfId="0" applyNumberFormat="1" applyBorder="1" applyAlignment="1">
      <alignment horizontal="right"/>
    </xf>
    <xf numFmtId="174" fontId="0" fillId="0" borderId="0" xfId="33" applyNumberFormat="1" applyFont="1" applyBorder="1"/>
    <xf numFmtId="174" fontId="0" fillId="0" borderId="47" xfId="33" applyNumberFormat="1" applyFont="1" applyBorder="1"/>
    <xf numFmtId="0" fontId="39" fillId="0" borderId="0" xfId="0" pivotButton="1" applyFont="1"/>
    <xf numFmtId="0" fontId="17" fillId="3" borderId="8" xfId="0" applyFont="1" applyFill="1" applyBorder="1" applyAlignment="1">
      <alignment horizontal="center" vertical="center" wrapText="1"/>
    </xf>
    <xf numFmtId="9" fontId="21" fillId="0" borderId="8" xfId="1" applyFont="1" applyBorder="1"/>
    <xf numFmtId="9" fontId="21" fillId="0" borderId="15" xfId="1" applyFont="1" applyBorder="1"/>
    <xf numFmtId="9" fontId="21" fillId="0" borderId="2" xfId="1" applyFont="1" applyBorder="1"/>
    <xf numFmtId="9" fontId="21" fillId="0" borderId="5" xfId="1" applyFont="1" applyBorder="1"/>
    <xf numFmtId="9" fontId="21" fillId="6" borderId="11" xfId="1" applyFont="1" applyFill="1" applyBorder="1" applyAlignment="1">
      <alignment horizontal="center" vertical="center" wrapText="1"/>
    </xf>
    <xf numFmtId="175" fontId="21" fillId="0" borderId="1" xfId="0" applyNumberFormat="1" applyFont="1" applyBorder="1"/>
    <xf numFmtId="175" fontId="17" fillId="12" borderId="0" xfId="1" applyNumberFormat="1" applyFont="1" applyFill="1" applyBorder="1" applyAlignment="1">
      <alignment horizontal="center"/>
    </xf>
    <xf numFmtId="175" fontId="17" fillId="12" borderId="50" xfId="1" applyNumberFormat="1" applyFont="1" applyFill="1" applyBorder="1" applyAlignment="1">
      <alignment horizontal="center"/>
    </xf>
    <xf numFmtId="175" fontId="0" fillId="0" borderId="0" xfId="0" applyNumberFormat="1"/>
    <xf numFmtId="174" fontId="21" fillId="0" borderId="47" xfId="33" applyNumberFormat="1" applyFont="1" applyBorder="1"/>
    <xf numFmtId="9" fontId="14" fillId="0" borderId="0" xfId="0" applyNumberFormat="1" applyFont="1"/>
    <xf numFmtId="1" fontId="14" fillId="0" borderId="0" xfId="0" applyNumberFormat="1" applyFont="1"/>
    <xf numFmtId="0" fontId="12" fillId="12" borderId="9" xfId="0" applyFont="1" applyFill="1" applyBorder="1" applyAlignment="1">
      <alignment horizontal="center" vertical="center"/>
    </xf>
    <xf numFmtId="0" fontId="12" fillId="12" borderId="11" xfId="0" applyFont="1" applyFill="1" applyBorder="1" applyAlignment="1">
      <alignment horizontal="center" vertical="center"/>
    </xf>
    <xf numFmtId="0" fontId="5" fillId="13" borderId="0" xfId="36" applyFont="1" applyFill="1"/>
    <xf numFmtId="0" fontId="28" fillId="13" borderId="0" xfId="36" applyFont="1" applyFill="1" applyAlignment="1">
      <alignment vertical="top"/>
    </xf>
    <xf numFmtId="0" fontId="33" fillId="13" borderId="0" xfId="36" applyFont="1" applyFill="1" applyAlignment="1">
      <alignment vertical="top"/>
    </xf>
    <xf numFmtId="0" fontId="5" fillId="14" borderId="0" xfId="36" applyFont="1" applyFill="1"/>
    <xf numFmtId="0" fontId="35" fillId="14" borderId="0" xfId="36" applyFont="1" applyFill="1"/>
    <xf numFmtId="0" fontId="5" fillId="14" borderId="0" xfId="36" applyFont="1" applyFill="1" applyAlignment="1">
      <alignment horizontal="left"/>
    </xf>
    <xf numFmtId="0" fontId="30" fillId="14" borderId="0" xfId="36" applyFont="1" applyFill="1"/>
    <xf numFmtId="0" fontId="27" fillId="14" borderId="0" xfId="36" applyFont="1" applyFill="1"/>
    <xf numFmtId="0" fontId="31" fillId="14" borderId="0" xfId="35" applyFont="1" applyFill="1" applyAlignment="1">
      <alignment horizontal="left"/>
    </xf>
    <xf numFmtId="14" fontId="5" fillId="14" borderId="0" xfId="36" applyNumberFormat="1" applyFont="1" applyFill="1"/>
    <xf numFmtId="14" fontId="5" fillId="14" borderId="0" xfId="36" applyNumberFormat="1" applyFont="1" applyFill="1" applyAlignment="1">
      <alignment horizontal="left"/>
    </xf>
    <xf numFmtId="0" fontId="34" fillId="14" borderId="0" xfId="36" applyFont="1" applyFill="1"/>
    <xf numFmtId="0" fontId="5" fillId="0" borderId="0" xfId="36" applyFont="1"/>
    <xf numFmtId="0" fontId="28" fillId="0" borderId="0" xfId="36" applyFont="1" applyAlignment="1">
      <alignment vertical="top"/>
    </xf>
    <xf numFmtId="0" fontId="33" fillId="0" borderId="0" xfId="36" applyFont="1" applyAlignment="1">
      <alignment vertical="top"/>
    </xf>
    <xf numFmtId="0" fontId="29" fillId="0" borderId="0" xfId="36" applyFont="1" applyAlignment="1">
      <alignment vertical="top"/>
    </xf>
    <xf numFmtId="0" fontId="13" fillId="9" borderId="0" xfId="0" applyFont="1" applyFill="1" applyAlignment="1">
      <alignment vertical="center"/>
    </xf>
    <xf numFmtId="0" fontId="0" fillId="9" borderId="0" xfId="0" applyFill="1" applyAlignment="1">
      <alignment wrapText="1"/>
    </xf>
    <xf numFmtId="0" fontId="0" fillId="9" borderId="0" xfId="0" applyFill="1" applyAlignment="1">
      <alignment vertical="top" wrapText="1"/>
    </xf>
    <xf numFmtId="0" fontId="32" fillId="9" borderId="0" xfId="0" applyFont="1" applyFill="1" applyAlignment="1">
      <alignment vertical="center"/>
    </xf>
    <xf numFmtId="0" fontId="32" fillId="9" borderId="0" xfId="0" applyFont="1" applyFill="1" applyAlignment="1">
      <alignment vertical="center" wrapText="1"/>
    </xf>
    <xf numFmtId="9" fontId="17" fillId="12" borderId="0" xfId="1" applyFont="1" applyFill="1" applyBorder="1" applyAlignment="1">
      <alignment horizontal="center"/>
    </xf>
    <xf numFmtId="9" fontId="17" fillId="12" borderId="50" xfId="1" applyFont="1" applyFill="1" applyBorder="1" applyAlignment="1">
      <alignment horizontal="center"/>
    </xf>
    <xf numFmtId="0" fontId="0" fillId="0" borderId="1" xfId="0" applyBorder="1" applyAlignment="1">
      <alignment horizontal="left" vertical="center" wrapText="1"/>
    </xf>
    <xf numFmtId="0" fontId="25" fillId="0" borderId="0" xfId="0" applyFont="1"/>
    <xf numFmtId="0" fontId="25" fillId="0" borderId="0" xfId="0" applyFont="1" applyAlignment="1">
      <alignment wrapText="1"/>
    </xf>
    <xf numFmtId="0" fontId="0" fillId="0" borderId="0" xfId="0" applyAlignment="1">
      <alignment horizontal="center" vertical="center"/>
    </xf>
    <xf numFmtId="0" fontId="0" fillId="0" borderId="1" xfId="0" applyBorder="1" applyAlignment="1">
      <alignment vertical="center"/>
    </xf>
    <xf numFmtId="0" fontId="0" fillId="0" borderId="1" xfId="0" applyBorder="1" applyAlignment="1">
      <alignment horizontal="center" vertical="center"/>
    </xf>
    <xf numFmtId="1" fontId="2" fillId="0" borderId="1" xfId="0" applyNumberFormat="1" applyFont="1" applyBorder="1" applyAlignment="1">
      <alignment horizontal="center"/>
    </xf>
    <xf numFmtId="0" fontId="13" fillId="0" borderId="13" xfId="0" applyFont="1" applyBorder="1" applyAlignment="1">
      <alignment horizontal="center" vertical="center"/>
    </xf>
    <xf numFmtId="0" fontId="13" fillId="0" borderId="12" xfId="0" applyFont="1" applyBorder="1" applyAlignment="1">
      <alignment horizontal="center" vertical="center"/>
    </xf>
    <xf numFmtId="0" fontId="0" fillId="0" borderId="12" xfId="0" applyBorder="1" applyAlignment="1">
      <alignment horizontal="right"/>
    </xf>
    <xf numFmtId="0" fontId="0" fillId="0" borderId="13" xfId="0" applyBorder="1" applyAlignment="1">
      <alignment horizontal="right"/>
    </xf>
    <xf numFmtId="1" fontId="2" fillId="0" borderId="6" xfId="0" applyNumberFormat="1" applyFont="1" applyBorder="1" applyAlignment="1">
      <alignment horizontal="center"/>
    </xf>
    <xf numFmtId="173" fontId="0" fillId="0" borderId="3" xfId="0" applyNumberFormat="1" applyBorder="1"/>
    <xf numFmtId="0" fontId="13" fillId="0" borderId="9" xfId="0" applyFont="1" applyBorder="1" applyAlignment="1">
      <alignment horizontal="center" vertical="center"/>
    </xf>
    <xf numFmtId="0" fontId="13" fillId="0" borderId="10" xfId="0" applyFont="1" applyBorder="1" applyAlignment="1">
      <alignment horizontal="center" vertical="center"/>
    </xf>
    <xf numFmtId="0" fontId="0" fillId="0" borderId="3" xfId="0" applyBorder="1" applyAlignment="1">
      <alignment horizontal="center" vertical="center"/>
    </xf>
    <xf numFmtId="0" fontId="0" fillId="0" borderId="6" xfId="0" applyBorder="1" applyAlignment="1">
      <alignment horizontal="center" vertical="center"/>
    </xf>
    <xf numFmtId="0" fontId="12" fillId="6" borderId="0" xfId="0" applyFont="1" applyFill="1"/>
    <xf numFmtId="1" fontId="0" fillId="0" borderId="0" xfId="0" applyNumberFormat="1"/>
    <xf numFmtId="0" fontId="17" fillId="6" borderId="0" xfId="0" applyFont="1" applyFill="1"/>
    <xf numFmtId="1" fontId="13" fillId="0" borderId="9" xfId="0" applyNumberFormat="1" applyFont="1" applyBorder="1" applyAlignment="1">
      <alignment horizontal="right" vertical="center"/>
    </xf>
    <xf numFmtId="1" fontId="13" fillId="0" borderId="10" xfId="0" applyNumberFormat="1" applyFont="1" applyBorder="1" applyAlignment="1">
      <alignment horizontal="right" vertical="center"/>
    </xf>
    <xf numFmtId="1" fontId="13" fillId="0" borderId="11" xfId="0" applyNumberFormat="1" applyFont="1" applyBorder="1" applyAlignment="1">
      <alignment horizontal="right" vertical="center"/>
    </xf>
    <xf numFmtId="168" fontId="2" fillId="0" borderId="0" xfId="0" applyNumberFormat="1" applyFont="1" applyAlignment="1">
      <alignment horizontal="right" vertical="center"/>
    </xf>
    <xf numFmtId="1" fontId="0" fillId="0" borderId="10" xfId="0" applyNumberFormat="1" applyBorder="1"/>
    <xf numFmtId="1" fontId="0" fillId="0" borderId="11" xfId="0" applyNumberFormat="1" applyBorder="1"/>
    <xf numFmtId="0" fontId="0" fillId="0" borderId="9" xfId="0" applyBorder="1" applyAlignment="1">
      <alignment horizontal="right"/>
    </xf>
    <xf numFmtId="9" fontId="0" fillId="0" borderId="0" xfId="0" applyNumberFormat="1"/>
    <xf numFmtId="0" fontId="12" fillId="0" borderId="0" xfId="0" applyFont="1"/>
    <xf numFmtId="176" fontId="0" fillId="0" borderId="12" xfId="33" applyNumberFormat="1" applyFont="1" applyBorder="1" applyAlignment="1">
      <alignment horizontal="center"/>
    </xf>
    <xf numFmtId="176" fontId="0" fillId="0" borderId="3" xfId="33" applyNumberFormat="1" applyFont="1" applyBorder="1" applyAlignment="1">
      <alignment horizontal="center"/>
    </xf>
    <xf numFmtId="176" fontId="0" fillId="0" borderId="6" xfId="33" applyNumberFormat="1" applyFont="1" applyBorder="1" applyAlignment="1">
      <alignment horizontal="center"/>
    </xf>
    <xf numFmtId="169" fontId="0" fillId="0" borderId="3" xfId="33" applyNumberFormat="1" applyFont="1" applyFill="1" applyBorder="1"/>
    <xf numFmtId="169" fontId="0" fillId="0" borderId="22" xfId="33" applyNumberFormat="1" applyFont="1" applyFill="1" applyBorder="1"/>
    <xf numFmtId="0" fontId="0" fillId="0" borderId="1" xfId="0" applyBorder="1" applyAlignment="1">
      <alignment vertical="center" wrapText="1"/>
    </xf>
    <xf numFmtId="0" fontId="2" fillId="4" borderId="0" xfId="0" applyFont="1" applyFill="1" applyAlignment="1" applyProtection="1">
      <alignment horizontal="center" vertical="center"/>
      <protection locked="0"/>
    </xf>
    <xf numFmtId="169" fontId="2" fillId="4" borderId="0" xfId="0" applyNumberFormat="1" applyFont="1" applyFill="1" applyAlignment="1" applyProtection="1">
      <alignment horizontal="center" vertical="center"/>
      <protection locked="0"/>
    </xf>
    <xf numFmtId="0" fontId="38" fillId="4" borderId="0" xfId="0" applyFont="1" applyFill="1" applyAlignment="1" applyProtection="1">
      <alignment horizontal="center" vertical="center" wrapText="1"/>
      <protection locked="0"/>
    </xf>
    <xf numFmtId="9" fontId="0" fillId="4" borderId="4" xfId="0" applyNumberFormat="1" applyFill="1" applyBorder="1" applyAlignment="1" applyProtection="1">
      <alignment horizontal="center" vertical="top"/>
      <protection locked="0"/>
    </xf>
    <xf numFmtId="9" fontId="0" fillId="4" borderId="7" xfId="0" applyNumberFormat="1" applyFill="1" applyBorder="1" applyAlignment="1" applyProtection="1">
      <alignment horizontal="center" vertical="center"/>
      <protection locked="0"/>
    </xf>
    <xf numFmtId="175" fontId="0" fillId="4" borderId="7" xfId="0" applyNumberFormat="1" applyFill="1" applyBorder="1" applyAlignment="1" applyProtection="1">
      <alignment horizontal="center" vertical="center"/>
      <protection locked="0"/>
    </xf>
    <xf numFmtId="9" fontId="12" fillId="4" borderId="0" xfId="1" applyFont="1" applyFill="1" applyAlignment="1" applyProtection="1">
      <alignment horizontal="center"/>
      <protection locked="0"/>
    </xf>
    <xf numFmtId="175" fontId="17" fillId="4" borderId="0" xfId="1" applyNumberFormat="1" applyFont="1" applyFill="1" applyAlignment="1" applyProtection="1">
      <alignment horizontal="center"/>
      <protection locked="0"/>
    </xf>
    <xf numFmtId="166" fontId="12" fillId="4" borderId="0" xfId="1" applyNumberFormat="1" applyFont="1" applyFill="1" applyBorder="1" applyAlignment="1" applyProtection="1">
      <alignment horizontal="center"/>
      <protection locked="0"/>
    </xf>
    <xf numFmtId="9" fontId="12" fillId="4" borderId="0" xfId="1" applyFont="1" applyFill="1" applyBorder="1" applyAlignment="1" applyProtection="1">
      <alignment horizontal="center"/>
      <protection locked="0"/>
    </xf>
    <xf numFmtId="9" fontId="12" fillId="4" borderId="11" xfId="1" applyFont="1" applyFill="1" applyBorder="1" applyAlignment="1" applyProtection="1">
      <alignment horizontal="center"/>
      <protection locked="0"/>
    </xf>
    <xf numFmtId="175" fontId="17" fillId="4" borderId="10" xfId="1" applyNumberFormat="1" applyFont="1" applyFill="1" applyBorder="1" applyAlignment="1" applyProtection="1">
      <alignment horizontal="center"/>
      <protection locked="0"/>
    </xf>
    <xf numFmtId="166" fontId="2" fillId="4" borderId="13" xfId="1" applyNumberFormat="1" applyFont="1" applyFill="1" applyBorder="1" applyAlignment="1" applyProtection="1">
      <alignment horizontal="right"/>
      <protection locked="0"/>
    </xf>
    <xf numFmtId="175" fontId="17" fillId="4" borderId="0" xfId="1" applyNumberFormat="1" applyFont="1" applyFill="1" applyBorder="1" applyAlignment="1" applyProtection="1">
      <alignment horizontal="center"/>
      <protection locked="0"/>
    </xf>
    <xf numFmtId="9" fontId="12" fillId="4" borderId="13" xfId="0" applyNumberFormat="1" applyFont="1" applyFill="1" applyBorder="1" applyProtection="1">
      <protection locked="0"/>
    </xf>
    <xf numFmtId="9" fontId="12" fillId="4" borderId="0" xfId="0" applyNumberFormat="1" applyFont="1" applyFill="1" applyProtection="1">
      <protection locked="0"/>
    </xf>
    <xf numFmtId="0" fontId="12" fillId="4" borderId="0" xfId="0" applyFont="1" applyFill="1" applyProtection="1">
      <protection locked="0"/>
    </xf>
    <xf numFmtId="0" fontId="0" fillId="9" borderId="0" xfId="0" applyFill="1" applyAlignment="1">
      <alignment vertical="top" wrapText="1"/>
    </xf>
    <xf numFmtId="0" fontId="0" fillId="9" borderId="0" xfId="0" applyFill="1" applyAlignment="1">
      <alignment horizontal="left" vertical="top" wrapText="1"/>
    </xf>
    <xf numFmtId="0" fontId="17" fillId="6" borderId="0" xfId="0" applyFont="1" applyFill="1" applyAlignment="1">
      <alignment horizontal="center"/>
    </xf>
    <xf numFmtId="0" fontId="17" fillId="6" borderId="0" xfId="0" applyFont="1" applyFill="1" applyAlignment="1">
      <alignment horizontal="right"/>
    </xf>
    <xf numFmtId="0" fontId="12" fillId="12" borderId="10" xfId="0" applyFont="1" applyFill="1" applyBorder="1" applyAlignment="1">
      <alignment horizontal="left" vertical="center"/>
    </xf>
    <xf numFmtId="0" fontId="0" fillId="0" borderId="0" xfId="0" applyAlignment="1">
      <alignment horizontal="left" vertical="top"/>
    </xf>
    <xf numFmtId="0" fontId="0" fillId="0" borderId="1" xfId="0" applyBorder="1" applyAlignment="1">
      <alignment horizontal="left" vertical="top" wrapText="1"/>
    </xf>
    <xf numFmtId="0" fontId="2" fillId="3" borderId="16" xfId="0" applyFont="1" applyFill="1" applyBorder="1" applyAlignment="1">
      <alignment horizontal="center" vertical="center" wrapText="1"/>
    </xf>
    <xf numFmtId="0" fontId="2" fillId="3" borderId="17" xfId="0" applyFont="1" applyFill="1" applyBorder="1" applyAlignment="1">
      <alignment horizontal="center" vertical="center" wrapText="1"/>
    </xf>
    <xf numFmtId="0" fontId="2" fillId="3" borderId="39" xfId="0" applyFont="1" applyFill="1" applyBorder="1" applyAlignment="1">
      <alignment horizontal="center" vertical="center" wrapText="1"/>
    </xf>
    <xf numFmtId="0" fontId="2" fillId="3" borderId="37" xfId="0" applyFont="1" applyFill="1" applyBorder="1" applyAlignment="1">
      <alignment horizontal="center" vertical="center" wrapText="1"/>
    </xf>
    <xf numFmtId="0" fontId="2" fillId="3" borderId="38" xfId="0" applyFont="1" applyFill="1" applyBorder="1" applyAlignment="1">
      <alignment horizontal="center" vertical="center" wrapText="1"/>
    </xf>
    <xf numFmtId="0" fontId="2" fillId="3" borderId="34" xfId="0" applyFont="1" applyFill="1" applyBorder="1" applyAlignment="1">
      <alignment horizontal="center" vertical="center" wrapText="1"/>
    </xf>
    <xf numFmtId="0" fontId="12" fillId="5" borderId="0" xfId="0" applyFont="1" applyFill="1" applyAlignment="1">
      <alignment horizontal="center"/>
    </xf>
    <xf numFmtId="0" fontId="0" fillId="0" borderId="0" xfId="0" applyAlignment="1">
      <alignment horizontal="center" vertical="center" wrapText="1"/>
    </xf>
    <xf numFmtId="0" fontId="0" fillId="0" borderId="4" xfId="0" applyBorder="1" applyAlignment="1">
      <alignment horizontal="center" vertical="center" wrapText="1"/>
    </xf>
    <xf numFmtId="0" fontId="0" fillId="0" borderId="0" xfId="0" applyAlignment="1">
      <alignment horizontal="center"/>
    </xf>
    <xf numFmtId="0" fontId="0" fillId="0" borderId="4" xfId="0" applyBorder="1" applyAlignment="1">
      <alignment horizontal="center"/>
    </xf>
    <xf numFmtId="0" fontId="12" fillId="0" borderId="0" xfId="0" applyFont="1" applyAlignment="1">
      <alignment horizontal="center" vertical="center"/>
    </xf>
    <xf numFmtId="0" fontId="12" fillId="0" borderId="4" xfId="0" applyFont="1" applyBorder="1" applyAlignment="1">
      <alignment horizontal="center" vertical="center"/>
    </xf>
    <xf numFmtId="0" fontId="12" fillId="5" borderId="13" xfId="0" applyFont="1" applyFill="1" applyBorder="1" applyAlignment="1">
      <alignment horizontal="center" vertical="center"/>
    </xf>
    <xf numFmtId="0" fontId="12" fillId="5" borderId="14" xfId="0" applyFont="1" applyFill="1" applyBorder="1" applyAlignment="1">
      <alignment horizontal="center" vertical="center"/>
    </xf>
    <xf numFmtId="0" fontId="12" fillId="5" borderId="13" xfId="0" applyFont="1" applyFill="1" applyBorder="1" applyAlignment="1">
      <alignment horizontal="center" vertical="center" wrapText="1"/>
    </xf>
    <xf numFmtId="0" fontId="12" fillId="5" borderId="13" xfId="0" applyFont="1" applyFill="1" applyBorder="1" applyAlignment="1">
      <alignment horizontal="center"/>
    </xf>
    <xf numFmtId="0" fontId="12" fillId="3" borderId="9" xfId="0" applyFont="1" applyFill="1" applyBorder="1" applyAlignment="1">
      <alignment horizontal="center" vertical="center" wrapText="1"/>
    </xf>
    <xf numFmtId="0" fontId="12" fillId="3" borderId="10" xfId="0" applyFont="1" applyFill="1" applyBorder="1" applyAlignment="1">
      <alignment horizontal="center" vertical="center" wrapText="1"/>
    </xf>
    <xf numFmtId="0" fontId="12" fillId="3" borderId="11" xfId="0" applyFont="1" applyFill="1" applyBorder="1" applyAlignment="1">
      <alignment horizontal="center" vertical="center" wrapText="1"/>
    </xf>
    <xf numFmtId="0" fontId="0" fillId="0" borderId="1" xfId="0" applyBorder="1" applyAlignment="1">
      <alignment horizontal="left" wrapText="1"/>
    </xf>
    <xf numFmtId="0" fontId="0" fillId="0" borderId="7" xfId="0" applyBorder="1" applyAlignment="1">
      <alignment horizontal="left" wrapText="1"/>
    </xf>
    <xf numFmtId="0" fontId="2" fillId="3" borderId="9" xfId="0" applyFont="1" applyFill="1" applyBorder="1" applyAlignment="1">
      <alignment horizontal="center" vertical="center" wrapText="1"/>
    </xf>
    <xf numFmtId="0" fontId="2" fillId="3" borderId="11" xfId="0" applyFont="1" applyFill="1" applyBorder="1" applyAlignment="1">
      <alignment horizontal="center" vertical="center" wrapText="1"/>
    </xf>
    <xf numFmtId="169" fontId="12" fillId="3" borderId="9" xfId="33" applyNumberFormat="1" applyFont="1" applyFill="1" applyBorder="1" applyAlignment="1">
      <alignment horizontal="center" vertical="center" wrapText="1"/>
    </xf>
    <xf numFmtId="169" fontId="12" fillId="3" borderId="10" xfId="33" applyNumberFormat="1" applyFont="1" applyFill="1" applyBorder="1" applyAlignment="1">
      <alignment horizontal="center" vertical="center" wrapText="1"/>
    </xf>
    <xf numFmtId="169" fontId="12" fillId="3" borderId="11" xfId="33" applyNumberFormat="1" applyFont="1" applyFill="1" applyBorder="1" applyAlignment="1">
      <alignment horizontal="center" vertical="center" wrapText="1"/>
    </xf>
    <xf numFmtId="169" fontId="0" fillId="3" borderId="9" xfId="33" applyNumberFormat="1" applyFont="1" applyFill="1" applyBorder="1" applyAlignment="1">
      <alignment horizontal="center" vertical="center" wrapText="1"/>
    </xf>
    <xf numFmtId="169" fontId="0" fillId="3" borderId="11" xfId="33" applyNumberFormat="1" applyFont="1" applyFill="1" applyBorder="1" applyAlignment="1">
      <alignment horizontal="center" vertical="center" wrapText="1"/>
    </xf>
    <xf numFmtId="0" fontId="12" fillId="0" borderId="0" xfId="0" applyFont="1" applyAlignment="1">
      <alignment horizontal="center"/>
    </xf>
    <xf numFmtId="0" fontId="0" fillId="0" borderId="45" xfId="0" applyBorder="1" applyAlignment="1">
      <alignment horizontal="center"/>
    </xf>
    <xf numFmtId="0" fontId="24" fillId="0" borderId="48" xfId="0" applyFont="1" applyBorder="1" applyAlignment="1">
      <alignment horizontal="center"/>
    </xf>
    <xf numFmtId="0" fontId="24" fillId="0" borderId="47" xfId="0" applyFont="1" applyBorder="1" applyAlignment="1">
      <alignment horizontal="center"/>
    </xf>
    <xf numFmtId="0" fontId="12" fillId="8" borderId="39" xfId="0" applyFont="1" applyFill="1" applyBorder="1" applyAlignment="1">
      <alignment horizontal="center"/>
    </xf>
    <xf numFmtId="0" fontId="12" fillId="8" borderId="37" xfId="0" applyFont="1" applyFill="1" applyBorder="1" applyAlignment="1">
      <alignment horizontal="center"/>
    </xf>
    <xf numFmtId="0" fontId="12" fillId="8" borderId="38" xfId="0" applyFont="1" applyFill="1" applyBorder="1" applyAlignment="1">
      <alignment horizontal="center"/>
    </xf>
  </cellXfs>
  <cellStyles count="37">
    <cellStyle name="40% - Accent6 2" xfId="32" xr:uid="{D9D0D582-FD8B-4541-9DA2-8130A01AFD37}"/>
    <cellStyle name="Comma" xfId="33" builtinId="3"/>
    <cellStyle name="Comma 3" xfId="34" xr:uid="{669073A4-7188-4899-A2C9-7FE2B1AB3ED8}"/>
    <cellStyle name="Hyperlink" xfId="35" builtinId="8"/>
    <cellStyle name="Hyperlink 2" xfId="27" xr:uid="{92C78941-094B-4957-83C2-9A546A9F039F}"/>
    <cellStyle name="Normal" xfId="0" builtinId="0"/>
    <cellStyle name="Normal 10" xfId="13" xr:uid="{047C1FFB-C3E9-45BD-80A9-C32D588385CE}"/>
    <cellStyle name="Normal 10 2" xfId="17" xr:uid="{CF4165A0-6D39-418B-B577-E7DF9FE4C79B}"/>
    <cellStyle name="Normal 10 3" xfId="30" xr:uid="{80233D0F-F921-42AB-84D2-93711DA9F716}"/>
    <cellStyle name="Normal 11" xfId="26" xr:uid="{424ADA1A-E3DF-4860-9E56-0F25A3E87A65}"/>
    <cellStyle name="Normal 11 2" xfId="31" xr:uid="{611FE755-4A09-4966-A5BF-95A23E652876}"/>
    <cellStyle name="Normal 12" xfId="28" xr:uid="{F2FFA83B-F222-4791-A9CD-917783EB2912}"/>
    <cellStyle name="Normal 13" xfId="3" xr:uid="{606316B3-214A-43FF-B4F7-B7861D8B380C}"/>
    <cellStyle name="Normal 2" xfId="4" xr:uid="{C624B029-9BF8-4B34-8C23-EA0A4F5C5707}"/>
    <cellStyle name="Normal 2 2" xfId="6" xr:uid="{FCEEB960-70CA-42B6-96DE-7A9E20932CA0}"/>
    <cellStyle name="Normal 2 2 2" xfId="19" xr:uid="{79A93223-1973-4822-BFA6-C27CCE12BFB2}"/>
    <cellStyle name="Normal 2 2 3" xfId="29" xr:uid="{45035D9A-D710-4D24-908A-BE2D1A912A35}"/>
    <cellStyle name="Normal 2 3" xfId="21" xr:uid="{E8D21322-C464-4420-9EAC-A595838F28EB}"/>
    <cellStyle name="Normal 2 4" xfId="15" xr:uid="{93E4113D-1065-481A-970C-5B45DF159F26}"/>
    <cellStyle name="Normal 3" xfId="5" xr:uid="{5650D08F-289B-416A-875B-35B89B19530C}"/>
    <cellStyle name="Normal 3 2" xfId="22" xr:uid="{8E25B5D9-7AFA-4CBB-901B-08A090AA40C7}"/>
    <cellStyle name="Normal 3 3" xfId="20" xr:uid="{9A6DFD6B-E1CA-4941-8AE1-40B17D35622C}"/>
    <cellStyle name="Normal 3 4" xfId="14" xr:uid="{5EE8DCFA-055F-4F04-87A8-E545996B5101}"/>
    <cellStyle name="Normal 4" xfId="7" xr:uid="{1934A9FC-5538-424F-84F9-363295B74356}"/>
    <cellStyle name="Normal 4 2" xfId="23" xr:uid="{6D5BEF8D-5482-4F05-A008-61BD60DB7B66}"/>
    <cellStyle name="Normal 4 3" xfId="16" xr:uid="{927C61C5-DB17-4F7E-A59C-E02362697324}"/>
    <cellStyle name="Normal 5" xfId="8" xr:uid="{D402EA24-F653-4028-886F-DFB1C101DAE0}"/>
    <cellStyle name="Normal 6" xfId="9" xr:uid="{2BD0C959-F3E7-4588-86D3-6769E5EAD487}"/>
    <cellStyle name="Normal 7" xfId="10" xr:uid="{8A67690C-68AD-4814-A35A-0210C112C137}"/>
    <cellStyle name="Normal 8" xfId="11" xr:uid="{B5B5199C-3595-428B-AA72-EAAD96866021}"/>
    <cellStyle name="Normal 9" xfId="12" xr:uid="{F5559B17-8AB9-4BE2-845F-2ACD0B26C5AD}"/>
    <cellStyle name="NumberCellStyle" xfId="18" xr:uid="{1D5473CC-2617-4EA9-AA85-962F6893B5CC}"/>
    <cellStyle name="NumberCellStyle 2" xfId="24" xr:uid="{B968A031-6298-42A4-8DB6-9C0007FDA6E5}"/>
    <cellStyle name="Percent" xfId="1" builtinId="5"/>
    <cellStyle name="Percent 2" xfId="25" xr:uid="{F50323F7-C2DA-414E-B7BD-44B8015778AF}"/>
    <cellStyle name="Standard 2" xfId="2" xr:uid="{1C35CED8-ABD1-4DAC-A6CD-5C35F0734A8E}"/>
    <cellStyle name="Standard 8" xfId="36" xr:uid="{8A009DA0-4505-433A-9E73-03A03397C41A}"/>
  </cellStyles>
  <dxfs count="330">
    <dxf>
      <font>
        <color rgb="FFFF0000"/>
      </font>
    </dxf>
    <dxf>
      <numFmt numFmtId="0" formatCode="General"/>
    </dxf>
    <dxf>
      <numFmt numFmtId="0" formatCode="General"/>
    </dxf>
    <dxf>
      <font>
        <color rgb="FF00B050"/>
      </font>
    </dxf>
    <dxf>
      <font>
        <color rgb="FF00B050"/>
      </font>
    </dxf>
    <dxf>
      <numFmt numFmtId="173" formatCode="0.0"/>
    </dxf>
    <dxf>
      <font>
        <b val="0"/>
        <i val="0"/>
        <strike val="0"/>
        <condense val="0"/>
        <extend val="0"/>
        <outline val="0"/>
        <shadow val="0"/>
        <u val="none"/>
        <vertAlign val="baseline"/>
        <sz val="11"/>
        <color theme="1"/>
        <name val="Flexo"/>
        <family val="2"/>
        <scheme val="minor"/>
      </font>
      <numFmt numFmtId="169" formatCode="_-* #,##0_-;\-* #,##0_-;_-* &quot;-&quot;??_-;_-@_-"/>
      <alignment horizontal="center" vertical="bottom" textRotation="0" wrapText="0"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1"/>
        <color theme="1"/>
        <name val="Flexo"/>
        <family val="2"/>
        <scheme val="minor"/>
      </font>
      <numFmt numFmtId="169" formatCode="_-* #,##0_-;\-* #,##0_-;_-* &quot;-&quot;??_-;_-@_-"/>
      <alignment horizontal="center" vertical="bottom" textRotation="0" wrapText="0" indent="0" justifyLastLine="0" shrinkToFit="0" readingOrder="0"/>
      <border diagonalUp="0" diagonalDown="0">
        <left style="thin">
          <color indexed="64"/>
        </left>
        <right/>
        <top/>
        <bottom style="thin">
          <color indexed="64"/>
        </bottom>
        <vertical/>
        <horizontal/>
      </border>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border diagonalUp="0" diagonalDown="0">
        <left style="thin">
          <color indexed="64"/>
        </left>
        <right/>
        <top/>
        <bottom/>
        <vertical/>
        <horizontal/>
      </border>
    </dxf>
    <dxf>
      <font>
        <b val="0"/>
        <i val="0"/>
        <strike val="0"/>
        <condense val="0"/>
        <extend val="0"/>
        <outline val="0"/>
        <shadow val="0"/>
        <u val="none"/>
        <vertAlign val="baseline"/>
        <sz val="11"/>
        <color theme="1"/>
        <name val="Flexo"/>
        <family val="2"/>
        <scheme val="minor"/>
      </font>
      <numFmt numFmtId="171" formatCode="_-* #,##0.0_-;\-* #,##0.0_-;_-* &quot;-&quot;?_-;_-@_-"/>
    </dxf>
    <dxf>
      <border diagonalUp="0" diagonalDown="0">
        <left/>
        <right style="thin">
          <color indexed="64"/>
        </right>
        <top/>
        <bottom/>
        <vertical/>
        <horizontal/>
      </border>
    </dxf>
    <dxf>
      <border outline="0">
        <left style="medium">
          <color indexed="64"/>
        </left>
        <right style="medium">
          <color indexed="64"/>
        </right>
        <top style="thin">
          <color indexed="64"/>
        </top>
        <bottom style="medium">
          <color indexed="64"/>
        </bottom>
      </border>
    </dxf>
    <dxf>
      <font>
        <b val="0"/>
        <i val="0"/>
        <strike val="0"/>
        <condense val="0"/>
        <extend val="0"/>
        <outline val="0"/>
        <shadow val="0"/>
        <u val="none"/>
        <vertAlign val="baseline"/>
        <sz val="11"/>
        <color theme="1"/>
        <name val="Flexo"/>
        <family val="2"/>
        <scheme val="minor"/>
      </font>
    </dxf>
    <dxf>
      <font>
        <b/>
        <i val="0"/>
        <strike val="0"/>
        <condense val="0"/>
        <extend val="0"/>
        <outline val="0"/>
        <shadow val="0"/>
        <u val="none"/>
        <vertAlign val="baseline"/>
        <sz val="11"/>
        <color theme="1"/>
        <name val="Flexo"/>
        <family val="2"/>
        <scheme val="minor"/>
      </font>
      <alignment horizontal="center" vertical="bottom" textRotation="0" wrapText="0" indent="0" justifyLastLine="0" shrinkToFit="0" readingOrder="0"/>
    </dxf>
    <dxf>
      <numFmt numFmtId="174" formatCode="_(* #,##0_);_(* \(#,##0\);_(* &quot;-&quot;??_);_(@_)"/>
      <border diagonalUp="0" diagonalDown="0" outline="0">
        <left/>
        <right style="medium">
          <color indexed="64"/>
        </right>
        <top/>
        <bottom/>
      </border>
    </dxf>
    <dxf>
      <numFmt numFmtId="174" formatCode="_(* #,##0_);_(* \(#,##0\);_(* &quot;-&quot;??_);_(@_)"/>
    </dxf>
    <dxf>
      <numFmt numFmtId="174" formatCode="_(* #,##0_);_(* \(#,##0\);_(* &quot;-&quot;??_);_(@_)"/>
    </dxf>
    <dxf>
      <numFmt numFmtId="174" formatCode="_(* #,##0_);_(* \(#,##0\);_(* &quot;-&quot;??_);_(@_)"/>
    </dxf>
    <dxf>
      <numFmt numFmtId="174" formatCode="_(* #,##0_);_(* \(#,##0\);_(* &quot;-&quot;??_);_(@_)"/>
    </dxf>
    <dxf>
      <numFmt numFmtId="174" formatCode="_(* #,##0_);_(* \(#,##0\);_(* &quot;-&quot;??_);_(@_)"/>
    </dxf>
    <dxf>
      <numFmt numFmtId="174" formatCode="_(* #,##0_);_(* \(#,##0\);_(* &quot;-&quot;??_);_(@_)"/>
    </dxf>
    <dxf>
      <border diagonalUp="0" diagonalDown="0" outline="0">
        <left style="medium">
          <color indexed="64"/>
        </left>
        <right/>
        <top/>
        <bottom/>
      </border>
    </dxf>
    <dxf>
      <font>
        <b val="0"/>
        <i val="0"/>
        <strike val="0"/>
        <condense val="0"/>
        <extend val="0"/>
        <outline val="0"/>
        <shadow val="0"/>
        <u val="none"/>
        <vertAlign val="baseline"/>
        <sz val="11"/>
        <color auto="1"/>
        <name val="Flexo"/>
        <family val="2"/>
        <scheme val="minor"/>
      </font>
      <numFmt numFmtId="169" formatCode="_-* #,##0_-;\-* #,##0_-;_-* &quot;-&quot;??_-;_-@_-"/>
      <border diagonalUp="0" diagonalDown="0">
        <left/>
        <right style="thin">
          <color indexed="64"/>
        </right>
        <top/>
        <bottom/>
        <vertical/>
        <horizontal/>
      </border>
    </dxf>
    <dxf>
      <font>
        <b val="0"/>
        <i val="0"/>
        <strike val="0"/>
        <condense val="0"/>
        <extend val="0"/>
        <outline val="0"/>
        <shadow val="0"/>
        <u val="none"/>
        <vertAlign val="baseline"/>
        <sz val="11"/>
        <color auto="1"/>
        <name val="Flexo"/>
        <family val="2"/>
        <scheme val="minor"/>
      </font>
      <numFmt numFmtId="169" formatCode="_-* #,##0_-;\-* #,##0_-;_-* &quot;-&quot;??_-;_-@_-"/>
    </dxf>
    <dxf>
      <font>
        <b val="0"/>
        <i val="0"/>
        <strike val="0"/>
        <condense val="0"/>
        <extend val="0"/>
        <outline val="0"/>
        <shadow val="0"/>
        <u val="none"/>
        <vertAlign val="baseline"/>
        <sz val="11"/>
        <color auto="1"/>
        <name val="Flexo"/>
        <family val="2"/>
        <scheme val="minor"/>
      </font>
      <numFmt numFmtId="169" formatCode="_-* #,##0_-;\-* #,##0_-;_-* &quot;-&quot;??_-;_-@_-"/>
    </dxf>
    <dxf>
      <font>
        <b val="0"/>
        <i val="0"/>
        <strike val="0"/>
        <condense val="0"/>
        <extend val="0"/>
        <outline val="0"/>
        <shadow val="0"/>
        <u val="none"/>
        <vertAlign val="baseline"/>
        <sz val="11"/>
        <color auto="1"/>
        <name val="Flexo"/>
        <family val="2"/>
        <scheme val="minor"/>
      </font>
      <numFmt numFmtId="169" formatCode="_-* #,##0_-;\-* #,##0_-;_-* &quot;-&quot;??_-;_-@_-"/>
    </dxf>
    <dxf>
      <font>
        <b val="0"/>
        <i val="0"/>
        <strike val="0"/>
        <condense val="0"/>
        <extend val="0"/>
        <outline val="0"/>
        <shadow val="0"/>
        <u val="none"/>
        <vertAlign val="baseline"/>
        <sz val="11"/>
        <color auto="1"/>
        <name val="Flexo"/>
        <family val="2"/>
        <scheme val="minor"/>
      </font>
      <numFmt numFmtId="169" formatCode="_-* #,##0_-;\-* #,##0_-;_-* &quot;-&quot;??_-;_-@_-"/>
    </dxf>
    <dxf>
      <font>
        <b val="0"/>
        <i val="0"/>
        <strike val="0"/>
        <condense val="0"/>
        <extend val="0"/>
        <outline val="0"/>
        <shadow val="0"/>
        <u val="none"/>
        <vertAlign val="baseline"/>
        <sz val="11"/>
        <color auto="1"/>
        <name val="Flexo"/>
        <family val="2"/>
        <scheme val="minor"/>
      </font>
      <numFmt numFmtId="169" formatCode="_-* #,##0_-;\-* #,##0_-;_-* &quot;-&quot;??_-;_-@_-"/>
    </dxf>
    <dxf>
      <font>
        <b val="0"/>
        <i val="0"/>
        <strike val="0"/>
        <condense val="0"/>
        <extend val="0"/>
        <outline val="0"/>
        <shadow val="0"/>
        <u val="none"/>
        <vertAlign val="baseline"/>
        <sz val="11"/>
        <color auto="1"/>
        <name val="Flexo"/>
        <family val="2"/>
        <scheme val="minor"/>
      </font>
      <numFmt numFmtId="169" formatCode="_-* #,##0_-;\-* #,##0_-;_-* &quot;-&quot;??_-;_-@_-"/>
      <border diagonalUp="0" diagonalDown="0">
        <left style="thin">
          <color indexed="64"/>
        </left>
        <right/>
        <top/>
        <bottom/>
        <vertical/>
        <horizontal/>
      </border>
    </dxf>
    <dxf>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auto="1"/>
        <name val="Flexo"/>
        <family val="2"/>
        <scheme val="minor"/>
      </font>
    </dxf>
    <dxf>
      <font>
        <b/>
        <i val="0"/>
        <strike val="0"/>
        <condense val="0"/>
        <extend val="0"/>
        <outline val="0"/>
        <shadow val="0"/>
        <u val="none"/>
        <vertAlign val="baseline"/>
        <sz val="11"/>
        <color theme="0"/>
        <name val="Flexo"/>
        <family val="2"/>
        <scheme val="minor"/>
      </font>
      <fill>
        <patternFill patternType="solid">
          <fgColor theme="4"/>
          <bgColor theme="4"/>
        </patternFill>
      </fill>
    </dxf>
    <dxf>
      <font>
        <b val="0"/>
        <i val="0"/>
        <strike val="0"/>
        <condense val="0"/>
        <extend val="0"/>
        <outline val="0"/>
        <shadow val="0"/>
        <u val="none"/>
        <vertAlign val="baseline"/>
        <sz val="11"/>
        <color theme="1"/>
        <name val="Flexo"/>
        <family val="2"/>
        <scheme val="minor"/>
      </font>
      <border diagonalUp="0" diagonalDown="0">
        <left/>
        <right/>
        <top style="thin">
          <color theme="4"/>
        </top>
        <bottom/>
        <vertical/>
        <horizontal/>
      </border>
    </dxf>
    <dxf>
      <border outline="0">
        <left style="thin">
          <color theme="4"/>
        </left>
        <top style="thin">
          <color theme="4"/>
        </top>
      </border>
    </dxf>
    <dxf>
      <font>
        <b/>
        <i val="0"/>
        <strike val="0"/>
        <condense val="0"/>
        <extend val="0"/>
        <outline val="0"/>
        <shadow val="0"/>
        <u val="none"/>
        <vertAlign val="baseline"/>
        <sz val="11"/>
        <color theme="0"/>
        <name val="Flexo"/>
        <family val="2"/>
        <scheme val="minor"/>
      </font>
      <fill>
        <patternFill patternType="solid">
          <fgColor theme="4"/>
          <bgColor theme="4"/>
        </patternFill>
      </fill>
    </dxf>
    <dxf>
      <numFmt numFmtId="169" formatCode="_-* #,##0_-;\-* #,##0_-;_-* &quot;-&quot;??_-;_-@_-"/>
      <border diagonalUp="0" diagonalDown="0">
        <left/>
        <right style="medium">
          <color indexed="64"/>
        </right>
        <top/>
        <bottom/>
        <vertical/>
        <horizontal/>
      </border>
    </dxf>
    <dxf>
      <numFmt numFmtId="169" formatCode="_-* #,##0_-;\-* #,##0_-;_-* &quot;-&quot;??_-;_-@_-"/>
    </dxf>
    <dxf>
      <numFmt numFmtId="169" formatCode="_-* #,##0_-;\-* #,##0_-;_-* &quot;-&quot;??_-;_-@_-"/>
    </dxf>
    <dxf>
      <numFmt numFmtId="169" formatCode="_-* #,##0_-;\-* #,##0_-;_-* &quot;-&quot;??_-;_-@_-"/>
    </dxf>
    <dxf>
      <numFmt numFmtId="169" formatCode="_-* #,##0_-;\-* #,##0_-;_-* &quot;-&quot;??_-;_-@_-"/>
    </dxf>
    <dxf>
      <numFmt numFmtId="169" formatCode="_-* #,##0_-;\-* #,##0_-;_-* &quot;-&quot;??_-;_-@_-"/>
    </dxf>
    <dxf>
      <numFmt numFmtId="169" formatCode="_-* #,##0_-;\-* #,##0_-;_-* &quot;-&quot;??_-;_-@_-"/>
    </dxf>
    <dxf>
      <border diagonalUp="0" diagonalDown="0">
        <left style="medium">
          <color indexed="64"/>
        </left>
        <right/>
        <top/>
        <bottom/>
        <vertical/>
        <horizontal/>
      </border>
    </dxf>
    <dxf>
      <font>
        <b val="0"/>
        <i val="0"/>
        <strike val="0"/>
        <condense val="0"/>
        <extend val="0"/>
        <outline val="0"/>
        <shadow val="0"/>
        <u val="none"/>
        <vertAlign val="baseline"/>
        <sz val="11"/>
        <color theme="1"/>
        <name val="Flexo"/>
        <family val="2"/>
        <scheme val="minor"/>
      </font>
      <numFmt numFmtId="169" formatCode="_-* #,##0_-;\-* #,##0_-;_-* &quot;-&quot;??_-;_-@_-"/>
      <alignment horizontal="center" vertical="bottom" textRotation="0" wrapText="0"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1"/>
        <color theme="1"/>
        <name val="Flexo"/>
        <family val="2"/>
        <scheme val="minor"/>
      </font>
      <numFmt numFmtId="169" formatCode="_-* #,##0_-;\-* #,##0_-;_-* &quot;-&quot;??_-;_-@_-"/>
      <alignment horizontal="center" vertical="bottom" textRotation="0" wrapText="0" indent="0" justifyLastLine="0" shrinkToFit="0" readingOrder="0"/>
      <border diagonalUp="0" diagonalDown="0">
        <left style="thin">
          <color indexed="64"/>
        </left>
        <right/>
        <top/>
        <bottom style="thin">
          <color indexed="64"/>
        </bottom>
        <vertical/>
        <horizontal/>
      </border>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border diagonalUp="0" diagonalDown="0">
        <left style="thin">
          <color indexed="64"/>
        </left>
        <right/>
        <top/>
        <bottom/>
        <vertical/>
        <horizontal/>
      </border>
    </dxf>
    <dxf>
      <font>
        <b val="0"/>
        <i val="0"/>
        <strike val="0"/>
        <condense val="0"/>
        <extend val="0"/>
        <outline val="0"/>
        <shadow val="0"/>
        <u val="none"/>
        <vertAlign val="baseline"/>
        <sz val="11"/>
        <color theme="1"/>
        <name val="Flexo"/>
        <family val="2"/>
        <scheme val="minor"/>
      </font>
      <numFmt numFmtId="171" formatCode="_-* #,##0.0_-;\-* #,##0.0_-;_-* &quot;-&quot;?_-;_-@_-"/>
    </dxf>
    <dxf>
      <border diagonalUp="0" diagonalDown="0">
        <left/>
        <right style="thin">
          <color indexed="64"/>
        </right>
        <top/>
        <bottom/>
        <vertical/>
        <horizontal/>
      </border>
    </dxf>
    <dxf>
      <border outline="0">
        <left style="medium">
          <color indexed="64"/>
        </left>
        <right style="medium">
          <color indexed="64"/>
        </right>
        <top style="thin">
          <color indexed="64"/>
        </top>
        <bottom style="medium">
          <color indexed="64"/>
        </bottom>
      </border>
    </dxf>
    <dxf>
      <font>
        <b val="0"/>
        <i val="0"/>
        <strike val="0"/>
        <condense val="0"/>
        <extend val="0"/>
        <outline val="0"/>
        <shadow val="0"/>
        <u val="none"/>
        <vertAlign val="baseline"/>
        <sz val="11"/>
        <color theme="1"/>
        <name val="Flexo"/>
        <family val="2"/>
        <scheme val="minor"/>
      </font>
    </dxf>
    <dxf>
      <font>
        <b/>
        <i val="0"/>
        <strike val="0"/>
        <condense val="0"/>
        <extend val="0"/>
        <outline val="0"/>
        <shadow val="0"/>
        <u val="none"/>
        <vertAlign val="baseline"/>
        <sz val="11"/>
        <color theme="1"/>
        <name val="Flexo"/>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1"/>
        <name val="Flexo"/>
        <family val="2"/>
        <scheme val="minor"/>
      </font>
      <numFmt numFmtId="169" formatCode="_-* #,##0_-;\-* #,##0_-;_-* &quot;-&quot;??_-;_-@_-"/>
      <alignment horizontal="center" vertical="bottom" textRotation="0" wrapText="0"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1"/>
        <color theme="1"/>
        <name val="Flexo"/>
        <family val="2"/>
        <scheme val="minor"/>
      </font>
      <numFmt numFmtId="169" formatCode="_-* #,##0_-;\-* #,##0_-;_-* &quot;-&quot;??_-;_-@_-"/>
      <alignment horizontal="center" vertical="bottom" textRotation="0" wrapText="0" indent="0" justifyLastLine="0" shrinkToFit="0" readingOrder="0"/>
      <border diagonalUp="0" diagonalDown="0">
        <left style="thin">
          <color indexed="64"/>
        </left>
        <right/>
        <top/>
        <bottom style="thin">
          <color indexed="64"/>
        </bottom>
        <vertical/>
        <horizontal/>
      </border>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border diagonalUp="0" diagonalDown="0">
        <left style="thin">
          <color indexed="64"/>
        </left>
        <right/>
        <top/>
        <bottom/>
        <vertical/>
        <horizontal/>
      </border>
    </dxf>
    <dxf>
      <font>
        <b val="0"/>
        <i val="0"/>
        <strike val="0"/>
        <condense val="0"/>
        <extend val="0"/>
        <outline val="0"/>
        <shadow val="0"/>
        <u val="none"/>
        <vertAlign val="baseline"/>
        <sz val="11"/>
        <color theme="1"/>
        <name val="Flexo"/>
        <family val="2"/>
        <scheme val="minor"/>
      </font>
      <numFmt numFmtId="171" formatCode="_-* #,##0.0_-;\-* #,##0.0_-;_-* &quot;-&quot;?_-;_-@_-"/>
    </dxf>
    <dxf>
      <border diagonalUp="0" diagonalDown="0">
        <left/>
        <right style="thin">
          <color indexed="64"/>
        </right>
        <top/>
        <bottom/>
        <vertical/>
        <horizontal/>
      </border>
    </dxf>
    <dxf>
      <border outline="0">
        <left style="medium">
          <color indexed="64"/>
        </left>
        <right style="medium">
          <color indexed="64"/>
        </right>
        <top style="thin">
          <color indexed="64"/>
        </top>
        <bottom style="medium">
          <color indexed="64"/>
        </bottom>
      </border>
    </dxf>
    <dxf>
      <font>
        <b val="0"/>
        <i val="0"/>
        <strike val="0"/>
        <condense val="0"/>
        <extend val="0"/>
        <outline val="0"/>
        <shadow val="0"/>
        <u val="none"/>
        <vertAlign val="baseline"/>
        <sz val="11"/>
        <color theme="1"/>
        <name val="Flexo"/>
        <family val="2"/>
        <scheme val="minor"/>
      </font>
    </dxf>
    <dxf>
      <font>
        <b/>
        <i val="0"/>
        <strike val="0"/>
        <condense val="0"/>
        <extend val="0"/>
        <outline val="0"/>
        <shadow val="0"/>
        <u val="none"/>
        <vertAlign val="baseline"/>
        <sz val="11"/>
        <color theme="1"/>
        <name val="Flexo"/>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1"/>
        <name val="Flexo"/>
        <family val="2"/>
        <scheme val="minor"/>
      </font>
      <numFmt numFmtId="169" formatCode="_-* #,##0_-;\-* #,##0_-;_-* &quot;-&quot;??_-;_-@_-"/>
      <alignment horizontal="center" vertical="bottom" textRotation="0" wrapText="0"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1"/>
        <color theme="1"/>
        <name val="Flexo"/>
        <family val="2"/>
        <scheme val="minor"/>
      </font>
      <numFmt numFmtId="169" formatCode="_-* #,##0_-;\-* #,##0_-;_-* &quot;-&quot;??_-;_-@_-"/>
      <alignment horizontal="center" vertical="bottom" textRotation="0" wrapText="0" indent="0" justifyLastLine="0" shrinkToFit="0" readingOrder="0"/>
      <border diagonalUp="0" diagonalDown="0">
        <left style="thin">
          <color indexed="64"/>
        </left>
        <right/>
        <top/>
        <bottom style="thin">
          <color indexed="64"/>
        </bottom>
        <vertical/>
        <horizontal/>
      </border>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border diagonalUp="0" diagonalDown="0">
        <left style="thin">
          <color indexed="64"/>
        </left>
        <right/>
        <top/>
        <bottom/>
        <vertical/>
        <horizontal/>
      </border>
    </dxf>
    <dxf>
      <font>
        <b val="0"/>
        <i val="0"/>
        <strike val="0"/>
        <condense val="0"/>
        <extend val="0"/>
        <outline val="0"/>
        <shadow val="0"/>
        <u val="none"/>
        <vertAlign val="baseline"/>
        <sz val="11"/>
        <color theme="1"/>
        <name val="Flexo"/>
        <family val="2"/>
        <scheme val="minor"/>
      </font>
      <numFmt numFmtId="171" formatCode="_-* #,##0.0_-;\-* #,##0.0_-;_-* &quot;-&quot;?_-;_-@_-"/>
    </dxf>
    <dxf>
      <border diagonalUp="0" diagonalDown="0">
        <left/>
        <right style="thin">
          <color indexed="64"/>
        </right>
        <top/>
        <bottom/>
        <vertical/>
        <horizontal/>
      </border>
    </dxf>
    <dxf>
      <border outline="0">
        <left style="medium">
          <color indexed="64"/>
        </left>
        <right style="medium">
          <color indexed="64"/>
        </right>
        <top style="thin">
          <color indexed="64"/>
        </top>
        <bottom style="medium">
          <color indexed="64"/>
        </bottom>
      </border>
    </dxf>
    <dxf>
      <font>
        <b val="0"/>
        <i val="0"/>
        <strike val="0"/>
        <condense val="0"/>
        <extend val="0"/>
        <outline val="0"/>
        <shadow val="0"/>
        <u val="none"/>
        <vertAlign val="baseline"/>
        <sz val="11"/>
        <color theme="1"/>
        <name val="Flexo"/>
        <family val="2"/>
        <scheme val="minor"/>
      </font>
    </dxf>
    <dxf>
      <font>
        <b/>
        <i val="0"/>
        <strike val="0"/>
        <condense val="0"/>
        <extend val="0"/>
        <outline val="0"/>
        <shadow val="0"/>
        <u val="none"/>
        <vertAlign val="baseline"/>
        <sz val="11"/>
        <color theme="1"/>
        <name val="Flexo"/>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1"/>
        <name val="Flexo"/>
        <family val="2"/>
        <scheme val="minor"/>
      </font>
      <numFmt numFmtId="169" formatCode="_-* #,##0_-;\-* #,##0_-;_-* &quot;-&quot;??_-;_-@_-"/>
      <alignment horizontal="center" vertical="bottom" textRotation="0" wrapText="0"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1"/>
        <color theme="1"/>
        <name val="Flexo"/>
        <family val="2"/>
        <scheme val="minor"/>
      </font>
      <numFmt numFmtId="169" formatCode="_-* #,##0_-;\-* #,##0_-;_-* &quot;-&quot;??_-;_-@_-"/>
      <alignment horizontal="center" vertical="bottom" textRotation="0" wrapText="0" indent="0" justifyLastLine="0" shrinkToFit="0" readingOrder="0"/>
      <border diagonalUp="0" diagonalDown="0">
        <left style="thin">
          <color indexed="64"/>
        </left>
        <right/>
        <top/>
        <bottom style="thin">
          <color indexed="64"/>
        </bottom>
        <vertical/>
        <horizontal/>
      </border>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border diagonalUp="0" diagonalDown="0">
        <left style="thin">
          <color indexed="64"/>
        </left>
        <right/>
        <top/>
        <bottom/>
        <vertical/>
        <horizontal/>
      </border>
    </dxf>
    <dxf>
      <font>
        <b val="0"/>
        <i val="0"/>
        <strike val="0"/>
        <condense val="0"/>
        <extend val="0"/>
        <outline val="0"/>
        <shadow val="0"/>
        <u val="none"/>
        <vertAlign val="baseline"/>
        <sz val="11"/>
        <color theme="1"/>
        <name val="Flexo"/>
        <family val="2"/>
        <scheme val="minor"/>
      </font>
      <numFmt numFmtId="169" formatCode="_-* #,##0_-;\-* #,##0_-;_-* &quot;-&quot;??_-;_-@_-"/>
    </dxf>
    <dxf>
      <border diagonalUp="0" diagonalDown="0">
        <left/>
        <right style="thin">
          <color indexed="64"/>
        </right>
        <top/>
        <bottom style="thin">
          <color indexed="64"/>
        </bottom>
        <vertical/>
        <horizontal/>
      </border>
    </dxf>
    <dxf>
      <border outline="0">
        <left style="medium">
          <color indexed="64"/>
        </left>
        <right style="medium">
          <color indexed="64"/>
        </right>
        <top style="thin">
          <color indexed="64"/>
        </top>
        <bottom style="medium">
          <color indexed="64"/>
        </bottom>
      </border>
    </dxf>
    <dxf>
      <font>
        <b val="0"/>
        <i val="0"/>
        <strike val="0"/>
        <condense val="0"/>
        <extend val="0"/>
        <outline val="0"/>
        <shadow val="0"/>
        <u val="none"/>
        <vertAlign val="baseline"/>
        <sz val="11"/>
        <color theme="1"/>
        <name val="Flexo"/>
        <family val="2"/>
        <scheme val="minor"/>
      </font>
    </dxf>
    <dxf>
      <border outline="0">
        <bottom style="thin">
          <color indexed="64"/>
        </bottom>
      </border>
    </dxf>
    <dxf>
      <font>
        <b/>
        <i val="0"/>
        <strike val="0"/>
        <condense val="0"/>
        <extend val="0"/>
        <outline val="0"/>
        <shadow val="0"/>
        <u val="none"/>
        <vertAlign val="baseline"/>
        <sz val="11"/>
        <color theme="1"/>
        <name val="Flexo"/>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1"/>
        <name val="Flexo"/>
        <family val="2"/>
        <scheme val="minor"/>
      </font>
      <numFmt numFmtId="169" formatCode="_-* #,##0_-;\-* #,##0_-;_-* &quot;-&quot;??_-;_-@_-"/>
      <alignment horizontal="center" vertical="bottom" textRotation="0" wrapText="0" indent="0" justifyLastLine="0" shrinkToFit="0" readingOrder="0"/>
    </dxf>
    <dxf>
      <font>
        <b val="0"/>
        <i val="0"/>
        <strike val="0"/>
        <condense val="0"/>
        <extend val="0"/>
        <outline val="0"/>
        <shadow val="0"/>
        <u val="none"/>
        <vertAlign val="baseline"/>
        <sz val="11"/>
        <color theme="1"/>
        <name val="Flexo"/>
        <family val="2"/>
        <scheme val="minor"/>
      </font>
      <numFmt numFmtId="169" formatCode="_-* #,##0_-;\-* #,##0_-;_-* &quot;-&quot;??_-;_-@_-"/>
      <alignment horizontal="center"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border diagonalUp="0" diagonalDown="0">
        <left style="thin">
          <color indexed="64"/>
        </left>
        <right/>
        <top/>
        <bottom/>
        <vertical/>
        <horizontal/>
      </border>
    </dxf>
    <dxf>
      <font>
        <b val="0"/>
        <i val="0"/>
        <strike val="0"/>
        <condense val="0"/>
        <extend val="0"/>
        <outline val="0"/>
        <shadow val="0"/>
        <u val="none"/>
        <vertAlign val="baseline"/>
        <sz val="11"/>
        <color theme="1"/>
        <name val="Flexo"/>
        <family val="2"/>
        <scheme val="minor"/>
      </font>
      <numFmt numFmtId="171" formatCode="_-* #,##0.0_-;\-* #,##0.0_-;_-* &quot;-&quot;?_-;_-@_-"/>
    </dxf>
    <dxf>
      <border diagonalUp="0" diagonalDown="0">
        <left/>
        <right style="thin">
          <color indexed="64"/>
        </right>
        <top/>
        <bottom/>
        <vertical/>
        <horizontal/>
      </border>
    </dxf>
    <dxf>
      <border outline="0">
        <left style="medium">
          <color indexed="64"/>
        </left>
        <right style="medium">
          <color indexed="64"/>
        </right>
        <top style="thin">
          <color indexed="64"/>
        </top>
      </border>
    </dxf>
    <dxf>
      <font>
        <b val="0"/>
        <i val="0"/>
        <strike val="0"/>
        <condense val="0"/>
        <extend val="0"/>
        <outline val="0"/>
        <shadow val="0"/>
        <u val="none"/>
        <vertAlign val="baseline"/>
        <sz val="11"/>
        <color theme="1"/>
        <name val="Flexo"/>
        <family val="2"/>
        <scheme val="minor"/>
      </font>
    </dxf>
    <dxf>
      <font>
        <b/>
        <i val="0"/>
        <strike val="0"/>
        <condense val="0"/>
        <extend val="0"/>
        <outline val="0"/>
        <shadow val="0"/>
        <u val="none"/>
        <vertAlign val="baseline"/>
        <sz val="11"/>
        <color theme="1"/>
        <name val="Flexo"/>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1"/>
        <name val="Flexo"/>
        <family val="2"/>
        <scheme val="minor"/>
      </font>
      <numFmt numFmtId="169" formatCode="_-* #,##0_-;\-* #,##0_-;_-* &quot;-&quot;??_-;_-@_-"/>
      <alignment horizontal="center" vertical="bottom" textRotation="0" wrapText="0"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1"/>
        <color theme="1"/>
        <name val="Flexo"/>
        <family val="2"/>
        <scheme val="minor"/>
      </font>
      <numFmt numFmtId="169" formatCode="_-* #,##0_-;\-* #,##0_-;_-* &quot;-&quot;??_-;_-@_-"/>
      <alignment horizontal="center" vertical="bottom" textRotation="0" wrapText="0" indent="0" justifyLastLine="0" shrinkToFit="0" readingOrder="0"/>
      <border diagonalUp="0" diagonalDown="0">
        <left style="thin">
          <color indexed="64"/>
        </left>
        <right/>
        <top/>
        <bottom style="thin">
          <color indexed="64"/>
        </bottom>
        <vertical/>
        <horizontal/>
      </border>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border diagonalUp="0" diagonalDown="0">
        <left style="thin">
          <color indexed="64"/>
        </left>
        <right/>
        <top/>
        <bottom/>
        <vertical/>
        <horizontal/>
      </border>
    </dxf>
    <dxf>
      <font>
        <b val="0"/>
        <i val="0"/>
        <strike val="0"/>
        <condense val="0"/>
        <extend val="0"/>
        <outline val="0"/>
        <shadow val="0"/>
        <u val="none"/>
        <vertAlign val="baseline"/>
        <sz val="11"/>
        <color theme="1"/>
        <name val="Flexo"/>
        <family val="2"/>
        <scheme val="minor"/>
      </font>
      <numFmt numFmtId="169" formatCode="_-* #,##0_-;\-* #,##0_-;_-* &quot;-&quot;??_-;_-@_-"/>
    </dxf>
    <dxf>
      <border diagonalUp="0" diagonalDown="0">
        <left/>
        <right style="thin">
          <color indexed="64"/>
        </right>
        <top/>
        <bottom/>
        <vertical/>
        <horizontal/>
      </border>
    </dxf>
    <dxf>
      <border outline="0">
        <left style="medium">
          <color indexed="64"/>
        </left>
        <right style="medium">
          <color indexed="64"/>
        </right>
        <top style="thin">
          <color indexed="64"/>
        </top>
        <bottom style="medium">
          <color indexed="64"/>
        </bottom>
      </border>
    </dxf>
    <dxf>
      <font>
        <b val="0"/>
        <i val="0"/>
        <strike val="0"/>
        <condense val="0"/>
        <extend val="0"/>
        <outline val="0"/>
        <shadow val="0"/>
        <u val="none"/>
        <vertAlign val="baseline"/>
        <sz val="11"/>
        <color theme="1"/>
        <name val="Flexo"/>
        <family val="2"/>
        <scheme val="minor"/>
      </font>
    </dxf>
    <dxf>
      <font>
        <b/>
        <i val="0"/>
        <strike val="0"/>
        <condense val="0"/>
        <extend val="0"/>
        <outline val="0"/>
        <shadow val="0"/>
        <u val="none"/>
        <vertAlign val="baseline"/>
        <sz val="11"/>
        <color theme="1"/>
        <name val="Flexo"/>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1"/>
        <name val="Flexo"/>
        <family val="2"/>
        <scheme val="minor"/>
      </font>
      <numFmt numFmtId="169" formatCode="_-* #,##0_-;\-* #,##0_-;_-* &quot;-&quot;??_-;_-@_-"/>
      <alignment horizontal="center" vertical="bottom" textRotation="0" wrapText="0"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1"/>
        <color theme="1"/>
        <name val="Flexo"/>
        <family val="2"/>
        <scheme val="minor"/>
      </font>
      <numFmt numFmtId="169" formatCode="_-* #,##0_-;\-* #,##0_-;_-* &quot;-&quot;??_-;_-@_-"/>
      <alignment horizontal="center" vertical="bottom" textRotation="0" wrapText="0" indent="0" justifyLastLine="0" shrinkToFit="0" readingOrder="0"/>
      <border diagonalUp="0" diagonalDown="0">
        <left style="thin">
          <color indexed="64"/>
        </left>
        <right/>
        <top/>
        <bottom style="thin">
          <color indexed="64"/>
        </bottom>
        <vertical/>
        <horizontal/>
      </border>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border diagonalUp="0" diagonalDown="0">
        <left style="thin">
          <color indexed="64"/>
        </left>
        <right/>
        <top/>
        <bottom/>
        <vertical/>
        <horizontal/>
      </border>
    </dxf>
    <dxf>
      <font>
        <b val="0"/>
        <i val="0"/>
        <strike val="0"/>
        <condense val="0"/>
        <extend val="0"/>
        <outline val="0"/>
        <shadow val="0"/>
        <u val="none"/>
        <vertAlign val="baseline"/>
        <sz val="11"/>
        <color theme="1"/>
        <name val="Flexo"/>
        <family val="2"/>
        <scheme val="minor"/>
      </font>
      <numFmt numFmtId="169" formatCode="_-* #,##0_-;\-* #,##0_-;_-* &quot;-&quot;??_-;_-@_-"/>
    </dxf>
    <dxf>
      <border diagonalUp="0" diagonalDown="0">
        <left/>
        <right style="thin">
          <color indexed="64"/>
        </right>
        <top/>
        <bottom/>
        <vertical/>
        <horizontal/>
      </border>
    </dxf>
    <dxf>
      <border outline="0">
        <left style="medium">
          <color indexed="64"/>
        </left>
        <right style="medium">
          <color indexed="64"/>
        </right>
        <top style="thin">
          <color indexed="64"/>
        </top>
        <bottom style="medium">
          <color indexed="64"/>
        </bottom>
      </border>
    </dxf>
    <dxf>
      <font>
        <b val="0"/>
        <i val="0"/>
        <strike val="0"/>
        <condense val="0"/>
        <extend val="0"/>
        <outline val="0"/>
        <shadow val="0"/>
        <u val="none"/>
        <vertAlign val="baseline"/>
        <sz val="11"/>
        <color theme="1"/>
        <name val="Flexo"/>
        <family val="2"/>
        <scheme val="minor"/>
      </font>
    </dxf>
    <dxf>
      <font>
        <b/>
        <i val="0"/>
        <strike val="0"/>
        <condense val="0"/>
        <extend val="0"/>
        <outline val="0"/>
        <shadow val="0"/>
        <u val="none"/>
        <vertAlign val="baseline"/>
        <sz val="11"/>
        <color theme="1"/>
        <name val="Flexo"/>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1"/>
        <name val="Flexo"/>
        <family val="2"/>
        <scheme val="minor"/>
      </font>
      <numFmt numFmtId="169" formatCode="_-* #,##0_-;\-* #,##0_-;_-* &quot;-&quot;??_-;_-@_-"/>
      <alignment horizontal="center" vertical="bottom" textRotation="0" wrapText="0"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1"/>
        <color theme="1"/>
        <name val="Flexo"/>
        <family val="2"/>
        <scheme val="minor"/>
      </font>
      <numFmt numFmtId="169" formatCode="_-* #,##0_-;\-* #,##0_-;_-* &quot;-&quot;??_-;_-@_-"/>
      <alignment horizontal="center" vertical="bottom" textRotation="0" wrapText="0" indent="0" justifyLastLine="0" shrinkToFit="0" readingOrder="0"/>
      <border diagonalUp="0" diagonalDown="0">
        <left style="thin">
          <color indexed="64"/>
        </left>
        <right/>
        <top/>
        <bottom style="thin">
          <color indexed="64"/>
        </bottom>
        <vertical/>
        <horizontal/>
      </border>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border diagonalUp="0" diagonalDown="0">
        <left style="thin">
          <color indexed="64"/>
        </left>
        <right/>
        <top/>
        <bottom/>
        <vertical/>
        <horizontal/>
      </border>
    </dxf>
    <dxf>
      <font>
        <b val="0"/>
        <i val="0"/>
        <strike val="0"/>
        <condense val="0"/>
        <extend val="0"/>
        <outline val="0"/>
        <shadow val="0"/>
        <u val="none"/>
        <vertAlign val="baseline"/>
        <sz val="11"/>
        <color theme="1"/>
        <name val="Flexo"/>
        <family val="2"/>
        <scheme val="minor"/>
      </font>
      <numFmt numFmtId="169" formatCode="_-* #,##0_-;\-* #,##0_-;_-* &quot;-&quot;??_-;_-@_-"/>
    </dxf>
    <dxf>
      <border diagonalUp="0" diagonalDown="0">
        <left/>
        <right style="thin">
          <color indexed="64"/>
        </right>
        <top/>
        <bottom/>
        <vertical/>
        <horizontal/>
      </border>
    </dxf>
    <dxf>
      <border outline="0">
        <left style="medium">
          <color indexed="64"/>
        </left>
        <right style="medium">
          <color indexed="64"/>
        </right>
        <top style="thin">
          <color indexed="64"/>
        </top>
        <bottom style="medium">
          <color indexed="64"/>
        </bottom>
      </border>
    </dxf>
    <dxf>
      <font>
        <b val="0"/>
        <i val="0"/>
        <strike val="0"/>
        <condense val="0"/>
        <extend val="0"/>
        <outline val="0"/>
        <shadow val="0"/>
        <u val="none"/>
        <vertAlign val="baseline"/>
        <sz val="11"/>
        <color theme="1"/>
        <name val="Flexo"/>
        <family val="2"/>
        <scheme val="minor"/>
      </font>
    </dxf>
    <dxf>
      <font>
        <b/>
        <i val="0"/>
        <strike val="0"/>
        <condense val="0"/>
        <extend val="0"/>
        <outline val="0"/>
        <shadow val="0"/>
        <u val="none"/>
        <vertAlign val="baseline"/>
        <sz val="11"/>
        <color theme="1"/>
        <name val="Flexo"/>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1"/>
        <name val="Flexo"/>
        <family val="2"/>
        <scheme val="minor"/>
      </font>
      <numFmt numFmtId="169" formatCode="_-* #,##0_-;\-* #,##0_-;_-* &quot;-&quot;??_-;_-@_-"/>
      <alignment horizontal="center" vertical="bottom" textRotation="0" wrapText="0"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1"/>
        <color theme="1"/>
        <name val="Flexo"/>
        <family val="2"/>
        <scheme val="minor"/>
      </font>
      <numFmt numFmtId="169" formatCode="_-* #,##0_-;\-* #,##0_-;_-* &quot;-&quot;??_-;_-@_-"/>
      <alignment horizontal="center" vertical="bottom" textRotation="0" wrapText="0" indent="0" justifyLastLine="0" shrinkToFit="0" readingOrder="0"/>
      <border diagonalUp="0" diagonalDown="0">
        <left style="thin">
          <color indexed="64"/>
        </left>
        <right/>
        <top/>
        <bottom style="thin">
          <color indexed="64"/>
        </bottom>
        <vertical/>
        <horizontal/>
      </border>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border diagonalUp="0" diagonalDown="0">
        <left style="thin">
          <color indexed="64"/>
        </left>
        <right/>
        <top/>
        <bottom/>
        <vertical/>
        <horizontal/>
      </border>
    </dxf>
    <dxf>
      <font>
        <b val="0"/>
        <i val="0"/>
        <strike val="0"/>
        <condense val="0"/>
        <extend val="0"/>
        <outline val="0"/>
        <shadow val="0"/>
        <u val="none"/>
        <vertAlign val="baseline"/>
        <sz val="11"/>
        <color theme="1"/>
        <name val="Flexo"/>
        <family val="2"/>
        <scheme val="minor"/>
      </font>
      <numFmt numFmtId="169" formatCode="_-* #,##0_-;\-* #,##0_-;_-* &quot;-&quot;??_-;_-@_-"/>
    </dxf>
    <dxf>
      <border diagonalUp="0" diagonalDown="0">
        <left/>
        <right style="thin">
          <color indexed="64"/>
        </right>
        <top/>
        <bottom style="thin">
          <color indexed="64"/>
        </bottom>
        <vertical/>
        <horizontal/>
      </border>
    </dxf>
    <dxf>
      <border outline="0">
        <left style="medium">
          <color indexed="64"/>
        </left>
        <right style="medium">
          <color indexed="64"/>
        </right>
        <top style="thin">
          <color indexed="64"/>
        </top>
        <bottom style="medium">
          <color indexed="64"/>
        </bottom>
      </border>
    </dxf>
    <dxf>
      <font>
        <b val="0"/>
        <i val="0"/>
        <strike val="0"/>
        <condense val="0"/>
        <extend val="0"/>
        <outline val="0"/>
        <shadow val="0"/>
        <u val="none"/>
        <vertAlign val="baseline"/>
        <sz val="11"/>
        <color theme="1"/>
        <name val="Flexo"/>
        <family val="2"/>
        <scheme val="minor"/>
      </font>
    </dxf>
    <dxf>
      <border outline="0">
        <bottom style="thin">
          <color indexed="64"/>
        </bottom>
      </border>
    </dxf>
    <dxf>
      <font>
        <b/>
        <i val="0"/>
        <strike val="0"/>
        <condense val="0"/>
        <extend val="0"/>
        <outline val="0"/>
        <shadow val="0"/>
        <u val="none"/>
        <vertAlign val="baseline"/>
        <sz val="11"/>
        <color theme="1"/>
        <name val="Flexo"/>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1"/>
        <name val="Flexo"/>
        <family val="2"/>
        <scheme val="minor"/>
      </font>
      <numFmt numFmtId="169" formatCode="_-* #,##0_-;\-* #,##0_-;_-* &quot;-&quot;??_-;_-@_-"/>
      <alignment horizontal="center" vertical="bottom" textRotation="0" wrapText="0" indent="0" justifyLastLine="0" shrinkToFit="0" readingOrder="0"/>
    </dxf>
    <dxf>
      <font>
        <b val="0"/>
        <i val="0"/>
        <strike val="0"/>
        <condense val="0"/>
        <extend val="0"/>
        <outline val="0"/>
        <shadow val="0"/>
        <u val="none"/>
        <vertAlign val="baseline"/>
        <sz val="11"/>
        <color theme="1"/>
        <name val="Flexo"/>
        <family val="2"/>
        <scheme val="minor"/>
      </font>
      <numFmt numFmtId="169" formatCode="_-* #,##0_-;\-* #,##0_-;_-* &quot;-&quot;??_-;_-@_-"/>
      <alignment horizontal="center"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border diagonalUp="0" diagonalDown="0">
        <left style="thin">
          <color indexed="64"/>
        </left>
        <right/>
        <top/>
        <bottom/>
        <vertical/>
        <horizontal/>
      </border>
    </dxf>
    <dxf>
      <font>
        <b val="0"/>
        <i val="0"/>
        <strike val="0"/>
        <condense val="0"/>
        <extend val="0"/>
        <outline val="0"/>
        <shadow val="0"/>
        <u val="none"/>
        <vertAlign val="baseline"/>
        <sz val="11"/>
        <color theme="1"/>
        <name val="Flexo"/>
        <family val="2"/>
        <scheme val="minor"/>
      </font>
      <numFmt numFmtId="169" formatCode="_-* #,##0_-;\-* #,##0_-;_-* &quot;-&quot;??_-;_-@_-"/>
    </dxf>
    <dxf>
      <border diagonalUp="0" diagonalDown="0">
        <left/>
        <right style="thin">
          <color indexed="64"/>
        </right>
        <top/>
        <bottom/>
        <vertical/>
        <horizontal/>
      </border>
    </dxf>
    <dxf>
      <border outline="0">
        <left style="medium">
          <color indexed="64"/>
        </left>
        <right style="medium">
          <color indexed="64"/>
        </right>
        <top style="thin">
          <color indexed="64"/>
        </top>
      </border>
    </dxf>
    <dxf>
      <font>
        <b val="0"/>
        <i val="0"/>
        <strike val="0"/>
        <condense val="0"/>
        <extend val="0"/>
        <outline val="0"/>
        <shadow val="0"/>
        <u val="none"/>
        <vertAlign val="baseline"/>
        <sz val="11"/>
        <color theme="1"/>
        <name val="Flexo"/>
        <family val="2"/>
        <scheme val="minor"/>
      </font>
    </dxf>
    <dxf>
      <font>
        <b/>
        <i val="0"/>
        <strike val="0"/>
        <condense val="0"/>
        <extend val="0"/>
        <outline val="0"/>
        <shadow val="0"/>
        <u val="none"/>
        <vertAlign val="baseline"/>
        <sz val="11"/>
        <color theme="1"/>
        <name val="Flexo"/>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1"/>
        <name val="Flexo"/>
        <family val="2"/>
        <scheme val="minor"/>
      </font>
      <numFmt numFmtId="169" formatCode="_-* #,##0_-;\-* #,##0_-;_-* &quot;-&quot;??_-;_-@_-"/>
      <alignment horizontal="center" vertical="bottom" textRotation="0" wrapText="0"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1"/>
        <color theme="1"/>
        <name val="Flexo"/>
        <family val="2"/>
        <scheme val="minor"/>
      </font>
      <numFmt numFmtId="169" formatCode="_-* #,##0_-;\-* #,##0_-;_-* &quot;-&quot;??_-;_-@_-"/>
      <alignment horizontal="center" vertical="bottom" textRotation="0" wrapText="0" indent="0" justifyLastLine="0" shrinkToFit="0" readingOrder="0"/>
      <border diagonalUp="0" diagonalDown="0">
        <left style="thin">
          <color indexed="64"/>
        </left>
        <right/>
        <top/>
        <bottom style="thin">
          <color indexed="64"/>
        </bottom>
        <vertical/>
        <horizontal/>
      </border>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border diagonalUp="0" diagonalDown="0">
        <left style="thin">
          <color indexed="64"/>
        </left>
        <right/>
        <top/>
        <bottom/>
        <vertical/>
        <horizontal/>
      </border>
    </dxf>
    <dxf>
      <font>
        <b val="0"/>
        <i val="0"/>
        <strike val="0"/>
        <condense val="0"/>
        <extend val="0"/>
        <outline val="0"/>
        <shadow val="0"/>
        <u val="none"/>
        <vertAlign val="baseline"/>
        <sz val="11"/>
        <color theme="1"/>
        <name val="Flexo"/>
        <family val="2"/>
        <scheme val="minor"/>
      </font>
      <numFmt numFmtId="169" formatCode="_-* #,##0_-;\-* #,##0_-;_-* &quot;-&quot;??_-;_-@_-"/>
    </dxf>
    <dxf>
      <border diagonalUp="0" diagonalDown="0">
        <left/>
        <right style="thin">
          <color indexed="64"/>
        </right>
        <top/>
        <bottom/>
        <vertical/>
        <horizontal/>
      </border>
    </dxf>
    <dxf>
      <border outline="0">
        <left style="medium">
          <color indexed="64"/>
        </left>
        <right style="medium">
          <color indexed="64"/>
        </right>
        <top style="thin">
          <color indexed="64"/>
        </top>
        <bottom style="medium">
          <color indexed="64"/>
        </bottom>
      </border>
    </dxf>
    <dxf>
      <font>
        <b val="0"/>
        <i val="0"/>
        <strike val="0"/>
        <condense val="0"/>
        <extend val="0"/>
        <outline val="0"/>
        <shadow val="0"/>
        <u val="none"/>
        <vertAlign val="baseline"/>
        <sz val="11"/>
        <color theme="1"/>
        <name val="Flexo"/>
        <family val="2"/>
        <scheme val="minor"/>
      </font>
    </dxf>
    <dxf>
      <font>
        <b/>
        <i val="0"/>
        <strike val="0"/>
        <condense val="0"/>
        <extend val="0"/>
        <outline val="0"/>
        <shadow val="0"/>
        <u val="none"/>
        <vertAlign val="baseline"/>
        <sz val="11"/>
        <color theme="1"/>
        <name val="Flexo"/>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1"/>
        <name val="Flexo"/>
        <family val="2"/>
        <scheme val="minor"/>
      </font>
      <numFmt numFmtId="169" formatCode="_-* #,##0_-;\-* #,##0_-;_-* &quot;-&quot;??_-;_-@_-"/>
      <alignment horizontal="center" vertical="bottom" textRotation="0" wrapText="0"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1"/>
        <color theme="1"/>
        <name val="Flexo"/>
        <family val="2"/>
        <scheme val="minor"/>
      </font>
      <numFmt numFmtId="169" formatCode="_-* #,##0_-;\-* #,##0_-;_-* &quot;-&quot;??_-;_-@_-"/>
      <alignment horizontal="center" vertical="bottom" textRotation="0" wrapText="0" indent="0" justifyLastLine="0" shrinkToFit="0" readingOrder="0"/>
      <border diagonalUp="0" diagonalDown="0">
        <left style="thin">
          <color indexed="64"/>
        </left>
        <right/>
        <top/>
        <bottom style="thin">
          <color indexed="64"/>
        </bottom>
        <vertical/>
        <horizontal/>
      </border>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border diagonalUp="0" diagonalDown="0">
        <left style="thin">
          <color indexed="64"/>
        </left>
        <right/>
        <top/>
        <bottom/>
        <vertical/>
        <horizontal/>
      </border>
    </dxf>
    <dxf>
      <font>
        <b val="0"/>
        <i val="0"/>
        <strike val="0"/>
        <condense val="0"/>
        <extend val="0"/>
        <outline val="0"/>
        <shadow val="0"/>
        <u val="none"/>
        <vertAlign val="baseline"/>
        <sz val="11"/>
        <color theme="1"/>
        <name val="Flexo"/>
        <family val="2"/>
        <scheme val="minor"/>
      </font>
      <numFmt numFmtId="169" formatCode="_-* #,##0_-;\-* #,##0_-;_-* &quot;-&quot;??_-;_-@_-"/>
    </dxf>
    <dxf>
      <border diagonalUp="0" diagonalDown="0">
        <left/>
        <right style="thin">
          <color indexed="64"/>
        </right>
        <top/>
        <bottom/>
        <vertical/>
        <horizontal/>
      </border>
    </dxf>
    <dxf>
      <border outline="0">
        <left style="medium">
          <color indexed="64"/>
        </left>
        <right style="medium">
          <color indexed="64"/>
        </right>
        <top style="thin">
          <color indexed="64"/>
        </top>
        <bottom style="medium">
          <color indexed="64"/>
        </bottom>
      </border>
    </dxf>
    <dxf>
      <font>
        <b val="0"/>
        <i val="0"/>
        <strike val="0"/>
        <condense val="0"/>
        <extend val="0"/>
        <outline val="0"/>
        <shadow val="0"/>
        <u val="none"/>
        <vertAlign val="baseline"/>
        <sz val="11"/>
        <color theme="1"/>
        <name val="Flexo"/>
        <family val="2"/>
        <scheme val="minor"/>
      </font>
    </dxf>
    <dxf>
      <font>
        <b/>
        <i val="0"/>
        <strike val="0"/>
        <condense val="0"/>
        <extend val="0"/>
        <outline val="0"/>
        <shadow val="0"/>
        <u val="none"/>
        <vertAlign val="baseline"/>
        <sz val="11"/>
        <color theme="1"/>
        <name val="Flexo"/>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1"/>
        <name val="Flexo"/>
        <family val="2"/>
        <scheme val="minor"/>
      </font>
      <numFmt numFmtId="169" formatCode="_-* #,##0_-;\-* #,##0_-;_-* &quot;-&quot;??_-;_-@_-"/>
      <alignment horizontal="center" vertical="bottom" textRotation="0" wrapText="0" indent="0" justifyLastLine="0" shrinkToFit="0" readingOrder="0"/>
      <border diagonalUp="0" diagonalDown="0">
        <left style="thin">
          <color indexed="64"/>
        </left>
        <right/>
        <top/>
        <bottom style="thin">
          <color indexed="64"/>
        </bottom>
        <vertical/>
        <horizontal/>
      </border>
    </dxf>
    <dxf>
      <font>
        <b val="0"/>
        <i val="0"/>
        <strike val="0"/>
        <condense val="0"/>
        <extend val="0"/>
        <outline val="0"/>
        <shadow val="0"/>
        <u val="none"/>
        <vertAlign val="baseline"/>
        <sz val="11"/>
        <color theme="1"/>
        <name val="Flexo"/>
        <family val="2"/>
        <scheme val="minor"/>
      </font>
      <numFmt numFmtId="169" formatCode="_-* #,##0_-;\-* #,##0_-;_-* &quot;-&quot;??_-;_-@_-"/>
      <border diagonalUp="0" diagonalDown="0">
        <left style="thin">
          <color indexed="64"/>
        </left>
      </border>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border diagonalUp="0" diagonalDown="0">
        <left style="thin">
          <color indexed="64"/>
        </left>
        <right/>
        <top/>
        <bottom/>
        <vertical/>
        <horizontal/>
      </border>
    </dxf>
    <dxf>
      <font>
        <b val="0"/>
        <i val="0"/>
        <strike val="0"/>
        <condense val="0"/>
        <extend val="0"/>
        <outline val="0"/>
        <shadow val="0"/>
        <u val="none"/>
        <vertAlign val="baseline"/>
        <sz val="11"/>
        <color theme="1"/>
        <name val="Flexo"/>
        <family val="2"/>
        <scheme val="minor"/>
      </font>
      <numFmt numFmtId="169" formatCode="_-* #,##0_-;\-* #,##0_-;_-* &quot;-&quot;??_-;_-@_-"/>
    </dxf>
    <dxf>
      <border diagonalUp="0" diagonalDown="0">
        <left/>
        <right style="thin">
          <color indexed="64"/>
        </right>
        <top/>
        <bottom/>
        <vertical/>
        <horizontal/>
      </border>
    </dxf>
    <dxf>
      <border outline="0">
        <left style="medium">
          <color indexed="64"/>
        </left>
        <right style="medium">
          <color indexed="64"/>
        </right>
        <top style="thin">
          <color indexed="64"/>
        </top>
        <bottom style="medium">
          <color indexed="64"/>
        </bottom>
      </border>
    </dxf>
    <dxf>
      <font>
        <b val="0"/>
        <i val="0"/>
        <strike val="0"/>
        <condense val="0"/>
        <extend val="0"/>
        <outline val="0"/>
        <shadow val="0"/>
        <u val="none"/>
        <vertAlign val="baseline"/>
        <sz val="11"/>
        <color theme="1"/>
        <name val="Flexo"/>
        <family val="2"/>
        <scheme val="minor"/>
      </font>
    </dxf>
    <dxf>
      <border outline="0">
        <bottom style="thin">
          <color indexed="64"/>
        </bottom>
      </border>
    </dxf>
    <dxf>
      <font>
        <b/>
        <i val="0"/>
        <strike val="0"/>
        <condense val="0"/>
        <extend val="0"/>
        <outline val="0"/>
        <shadow val="0"/>
        <u val="none"/>
        <vertAlign val="baseline"/>
        <sz val="11"/>
        <color theme="1"/>
        <name val="Flexo"/>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1"/>
        <name val="Flexo"/>
        <family val="2"/>
        <scheme val="minor"/>
      </font>
      <numFmt numFmtId="169" formatCode="_-* #,##0_-;\-* #,##0_-;_-* &quot;-&quot;??_-;_-@_-"/>
      <alignment horizontal="center" vertical="bottom" textRotation="0" wrapText="0"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1"/>
        <color theme="1"/>
        <name val="Flexo"/>
        <family val="2"/>
        <scheme val="minor"/>
      </font>
      <numFmt numFmtId="169" formatCode="_-* #,##0_-;\-* #,##0_-;_-* &quot;-&quot;??_-;_-@_-"/>
      <alignment horizontal="center" vertical="bottom" textRotation="0" wrapText="0"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1"/>
        <color theme="1"/>
        <name val="Flexo"/>
        <family val="2"/>
        <scheme val="minor"/>
      </font>
      <numFmt numFmtId="169" formatCode="_-* #,##0_-;\-* #,##0_-;_-* &quot;-&quot;??_-;_-@_-"/>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theme="1"/>
        <name val="Flexo"/>
        <family val="2"/>
        <scheme val="minor"/>
      </font>
      <numFmt numFmtId="169" formatCode="_-* #,##0_-;\-* #,##0_-;_-* &quot;-&quot;??_-;_-@_-"/>
      <border diagonalUp="0" diagonalDown="0">
        <left/>
        <right/>
        <top/>
        <bottom style="thin">
          <color indexed="64"/>
        </bottom>
        <vertical/>
        <horizontal/>
      </border>
    </dxf>
    <dxf>
      <font>
        <b val="0"/>
        <i val="0"/>
        <strike val="0"/>
        <condense val="0"/>
        <extend val="0"/>
        <outline val="0"/>
        <shadow val="0"/>
        <u val="none"/>
        <vertAlign val="baseline"/>
        <sz val="11"/>
        <color theme="1"/>
        <name val="Flexo"/>
        <family val="2"/>
        <scheme val="minor"/>
      </font>
      <numFmt numFmtId="169" formatCode="_-* #,##0_-;\-* #,##0_-;_-* &quot;-&quot;??_-;_-@_-"/>
      <border diagonalUp="0" diagonalDown="0">
        <left/>
        <right/>
        <top/>
        <bottom style="thin">
          <color indexed="64"/>
        </bottom>
        <vertical/>
        <horizontal/>
      </border>
    </dxf>
    <dxf>
      <font>
        <b val="0"/>
        <i val="0"/>
        <strike val="0"/>
        <condense val="0"/>
        <extend val="0"/>
        <outline val="0"/>
        <shadow val="0"/>
        <u val="none"/>
        <vertAlign val="baseline"/>
        <sz val="11"/>
        <color theme="1"/>
        <name val="Flexo"/>
        <family val="2"/>
        <scheme val="minor"/>
      </font>
      <numFmt numFmtId="169" formatCode="_-* #,##0_-;\-* #,##0_-;_-* &quot;-&quot;??_-;_-@_-"/>
      <border diagonalUp="0" diagonalDown="0">
        <left/>
        <right/>
        <top/>
        <bottom style="thin">
          <color indexed="64"/>
        </bottom>
        <vertical/>
        <horizontal/>
      </border>
    </dxf>
    <dxf>
      <font>
        <b val="0"/>
        <i val="0"/>
        <strike val="0"/>
        <condense val="0"/>
        <extend val="0"/>
        <outline val="0"/>
        <shadow val="0"/>
        <u val="none"/>
        <vertAlign val="baseline"/>
        <sz val="11"/>
        <color theme="1"/>
        <name val="Flexo"/>
        <family val="2"/>
        <scheme val="minor"/>
      </font>
      <numFmt numFmtId="169" formatCode="_-* #,##0_-;\-* #,##0_-;_-* &quot;-&quot;??_-;_-@_-"/>
      <border diagonalUp="0" diagonalDown="0">
        <left/>
        <right/>
        <top/>
        <bottom style="thin">
          <color indexed="64"/>
        </bottom>
        <vertical/>
        <horizontal/>
      </border>
    </dxf>
    <dxf>
      <font>
        <b val="0"/>
        <i val="0"/>
        <strike val="0"/>
        <condense val="0"/>
        <extend val="0"/>
        <outline val="0"/>
        <shadow val="0"/>
        <u val="none"/>
        <vertAlign val="baseline"/>
        <sz val="11"/>
        <color theme="1"/>
        <name val="Flexo"/>
        <family val="2"/>
        <scheme val="minor"/>
      </font>
      <numFmt numFmtId="169" formatCode="_-* #,##0_-;\-* #,##0_-;_-* &quot;-&quot;??_-;_-@_-"/>
      <border diagonalUp="0" diagonalDown="0">
        <left style="thin">
          <color indexed="64"/>
        </left>
        <right/>
        <top/>
        <bottom style="thin">
          <color indexed="64"/>
        </bottom>
        <vertical/>
        <horizontal/>
      </border>
    </dxf>
    <dxf>
      <font>
        <b val="0"/>
        <i val="0"/>
        <strike val="0"/>
        <condense val="0"/>
        <extend val="0"/>
        <outline val="0"/>
        <shadow val="0"/>
        <u val="none"/>
        <vertAlign val="baseline"/>
        <sz val="11"/>
        <color theme="1"/>
        <name val="Flexo"/>
        <family val="2"/>
        <scheme val="minor"/>
      </font>
      <numFmt numFmtId="169" formatCode="_-* #,##0_-;\-* #,##0_-;_-* &quot;-&quot;??_-;_-@_-"/>
      <border diagonalUp="0" diagonalDown="0">
        <left style="medium">
          <color indexed="64"/>
        </left>
        <right/>
        <top/>
        <bottom/>
        <vertical/>
        <horizontal/>
      </border>
    </dxf>
    <dxf>
      <border diagonalUp="0" diagonalDown="0">
        <left style="thin">
          <color indexed="64"/>
        </left>
        <right style="thin">
          <color indexed="64"/>
        </right>
        <top/>
        <bottom/>
        <vertical/>
        <horizontal/>
      </border>
    </dxf>
    <dxf>
      <border outline="0">
        <right style="medium">
          <color indexed="64"/>
        </right>
      </border>
    </dxf>
    <dxf>
      <border outline="0">
        <bottom style="thin">
          <color indexed="64"/>
        </bottom>
      </border>
    </dxf>
    <dxf>
      <font>
        <b/>
        <i val="0"/>
        <strike val="0"/>
        <condense val="0"/>
        <extend val="0"/>
        <outline val="0"/>
        <shadow val="0"/>
        <u val="none"/>
        <vertAlign val="baseline"/>
        <sz val="11"/>
        <color theme="1"/>
        <name val="Flexo"/>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1"/>
        <name val="Flexo"/>
        <family val="2"/>
        <scheme val="minor"/>
      </font>
      <numFmt numFmtId="169" formatCode="_-* #,##0_-;\-* #,##0_-;_-* &quot;-&quot;??_-;_-@_-"/>
      <alignment horizontal="center" vertical="bottom" textRotation="0" wrapText="0"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1"/>
        <color theme="1"/>
        <name val="Flexo"/>
        <family val="2"/>
        <scheme val="minor"/>
      </font>
      <numFmt numFmtId="169" formatCode="_-* #,##0_-;\-* #,##0_-;_-* &quot;-&quot;??_-;_-@_-"/>
      <alignment horizontal="center" vertical="bottom" textRotation="0" wrapText="0" indent="0" justifyLastLine="0" shrinkToFit="0" readingOrder="0"/>
      <border diagonalUp="0" diagonalDown="0">
        <left style="thin">
          <color indexed="64"/>
        </left>
        <right/>
        <top/>
        <bottom style="thin">
          <color indexed="64"/>
        </bottom>
        <vertical/>
        <horizontal/>
      </border>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border diagonalUp="0" diagonalDown="0">
        <left style="thin">
          <color indexed="64"/>
        </left>
        <right/>
        <top/>
        <bottom/>
        <vertical/>
        <horizontal/>
      </border>
    </dxf>
    <dxf>
      <font>
        <b val="0"/>
        <i val="0"/>
        <strike val="0"/>
        <condense val="0"/>
        <extend val="0"/>
        <outline val="0"/>
        <shadow val="0"/>
        <u val="none"/>
        <vertAlign val="baseline"/>
        <sz val="11"/>
        <color theme="1"/>
        <name val="Flexo"/>
        <family val="2"/>
        <scheme val="minor"/>
      </font>
      <numFmt numFmtId="169" formatCode="_-* #,##0_-;\-* #,##0_-;_-* &quot;-&quot;??_-;_-@_-"/>
    </dxf>
    <dxf>
      <border diagonalUp="0" diagonalDown="0">
        <left/>
        <right style="thin">
          <color indexed="64"/>
        </right>
        <top/>
        <bottom style="thin">
          <color indexed="64"/>
        </bottom>
        <vertical/>
        <horizontal/>
      </border>
    </dxf>
    <dxf>
      <border outline="0">
        <left style="medium">
          <color indexed="64"/>
        </left>
        <right style="medium">
          <color indexed="64"/>
        </right>
        <top style="thin">
          <color indexed="64"/>
        </top>
        <bottom style="medium">
          <color indexed="64"/>
        </bottom>
      </border>
    </dxf>
    <dxf>
      <font>
        <b val="0"/>
        <i val="0"/>
        <strike val="0"/>
        <condense val="0"/>
        <extend val="0"/>
        <outline val="0"/>
        <shadow val="0"/>
        <u val="none"/>
        <vertAlign val="baseline"/>
        <sz val="11"/>
        <color theme="1"/>
        <name val="Flexo"/>
        <family val="2"/>
        <scheme val="minor"/>
      </font>
    </dxf>
    <dxf>
      <border outline="0">
        <bottom style="thin">
          <color indexed="64"/>
        </bottom>
      </border>
    </dxf>
    <dxf>
      <font>
        <b/>
        <i val="0"/>
        <strike val="0"/>
        <condense val="0"/>
        <extend val="0"/>
        <outline val="0"/>
        <shadow val="0"/>
        <u val="none"/>
        <vertAlign val="baseline"/>
        <sz val="11"/>
        <color theme="1"/>
        <name val="Flexo"/>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1"/>
        <name val="Flexo"/>
        <family val="2"/>
        <scheme val="minor"/>
      </font>
      <numFmt numFmtId="169" formatCode="_-* #,##0_-;\-* #,##0_-;_-* &quot;-&quot;??_-;_-@_-"/>
      <alignment horizontal="center" vertical="bottom" textRotation="0" wrapText="0"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1"/>
        <color theme="1"/>
        <name val="Flexo"/>
        <family val="2"/>
        <scheme val="minor"/>
      </font>
      <numFmt numFmtId="169" formatCode="_-* #,##0_-;\-* #,##0_-;_-* &quot;-&quot;??_-;_-@_-"/>
      <alignment horizontal="center" vertical="bottom" textRotation="0" wrapText="0" indent="0" justifyLastLine="0" shrinkToFit="0" readingOrder="0"/>
      <border diagonalUp="0" diagonalDown="0">
        <left style="thin">
          <color indexed="64"/>
        </left>
        <right/>
        <top/>
        <bottom style="thin">
          <color indexed="64"/>
        </bottom>
        <vertical/>
        <horizontal/>
      </border>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border diagonalUp="0" diagonalDown="0">
        <left style="thin">
          <color indexed="64"/>
        </left>
        <right/>
        <top/>
        <bottom/>
        <vertical/>
        <horizontal/>
      </border>
    </dxf>
    <dxf>
      <font>
        <b val="0"/>
        <i val="0"/>
        <strike val="0"/>
        <condense val="0"/>
        <extend val="0"/>
        <outline val="0"/>
        <shadow val="0"/>
        <u val="none"/>
        <vertAlign val="baseline"/>
        <sz val="11"/>
        <color theme="1"/>
        <name val="Flexo"/>
        <family val="2"/>
        <scheme val="minor"/>
      </font>
      <numFmt numFmtId="169" formatCode="_-* #,##0_-;\-* #,##0_-;_-* &quot;-&quot;??_-;_-@_-"/>
    </dxf>
    <dxf>
      <border diagonalUp="0" diagonalDown="0">
        <left/>
        <right style="thin">
          <color indexed="64"/>
        </right>
        <top/>
        <bottom style="thin">
          <color indexed="64"/>
        </bottom>
        <vertical/>
        <horizontal/>
      </border>
    </dxf>
    <dxf>
      <border outline="0">
        <right style="medium">
          <color indexed="64"/>
        </right>
        <top style="thin">
          <color indexed="64"/>
        </top>
        <bottom style="medium">
          <color indexed="64"/>
        </bottom>
      </border>
    </dxf>
    <dxf>
      <font>
        <b val="0"/>
        <i val="0"/>
        <strike val="0"/>
        <condense val="0"/>
        <extend val="0"/>
        <outline val="0"/>
        <shadow val="0"/>
        <u val="none"/>
        <vertAlign val="baseline"/>
        <sz val="11"/>
        <color theme="1"/>
        <name val="Flexo"/>
        <family val="2"/>
        <scheme val="minor"/>
      </font>
    </dxf>
    <dxf>
      <border outline="0">
        <bottom style="thin">
          <color indexed="64"/>
        </bottom>
      </border>
    </dxf>
    <dxf>
      <font>
        <b/>
        <i val="0"/>
        <strike val="0"/>
        <condense val="0"/>
        <extend val="0"/>
        <outline val="0"/>
        <shadow val="0"/>
        <u val="none"/>
        <vertAlign val="baseline"/>
        <sz val="11"/>
        <color theme="1"/>
        <name val="Flexo"/>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1"/>
        <name val="Flexo"/>
        <family val="2"/>
        <scheme val="minor"/>
      </font>
      <numFmt numFmtId="169" formatCode="_-* #,##0_-;\-* #,##0_-;_-* &quot;-&quot;??_-;_-@_-"/>
      <alignment horizontal="center" vertical="bottom" textRotation="0" wrapText="0" indent="0" justifyLastLine="0" shrinkToFit="0" readingOrder="0"/>
      <border diagonalUp="0" diagonalDown="0">
        <left style="thin">
          <color indexed="64"/>
        </left>
        <right/>
        <top/>
        <bottom style="thin">
          <color indexed="64"/>
        </bottom>
        <vertical/>
        <horizontal/>
      </border>
    </dxf>
    <dxf>
      <font>
        <b val="0"/>
        <i val="0"/>
        <strike val="0"/>
        <condense val="0"/>
        <extend val="0"/>
        <outline val="0"/>
        <shadow val="0"/>
        <u val="none"/>
        <vertAlign val="baseline"/>
        <sz val="11"/>
        <color theme="1"/>
        <name val="Flexo"/>
        <family val="2"/>
        <scheme val="minor"/>
      </font>
      <numFmt numFmtId="169" formatCode="_-* #,##0_-;\-* #,##0_-;_-* &quot;-&quot;??_-;_-@_-"/>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fill>
        <patternFill patternType="none">
          <fgColor indexed="64"/>
          <bgColor auto="1"/>
        </patternFill>
      </fill>
      <border diagonalUp="0" diagonalDown="0" outline="0">
        <left style="thin">
          <color indexed="64"/>
        </left>
        <right/>
        <top/>
        <bottom/>
      </border>
    </dxf>
    <dxf>
      <font>
        <b val="0"/>
        <i val="0"/>
        <strike val="0"/>
        <condense val="0"/>
        <extend val="0"/>
        <outline val="0"/>
        <shadow val="0"/>
        <u val="none"/>
        <vertAlign val="baseline"/>
        <sz val="11"/>
        <color theme="1"/>
        <name val="Flexo"/>
        <family val="2"/>
        <scheme val="minor"/>
      </font>
      <numFmt numFmtId="169" formatCode="_-* #,##0_-;\-* #,##0_-;_-* &quot;-&quot;??_-;_-@_-"/>
      <border outline="0">
        <right style="thin">
          <color indexed="64"/>
        </right>
      </border>
    </dxf>
    <dxf>
      <border diagonalUp="0" diagonalDown="0">
        <left/>
        <right style="thin">
          <color indexed="64"/>
        </right>
        <top/>
        <bottom style="thin">
          <color indexed="64"/>
        </bottom>
        <vertical/>
        <horizontal/>
      </border>
    </dxf>
    <dxf>
      <border outline="0">
        <left style="medium">
          <color indexed="64"/>
        </left>
        <right style="medium">
          <color indexed="64"/>
        </right>
        <top style="thin">
          <color indexed="64"/>
        </top>
        <bottom style="medium">
          <color indexed="64"/>
        </bottom>
      </border>
    </dxf>
    <dxf>
      <font>
        <b val="0"/>
        <i val="0"/>
        <strike val="0"/>
        <condense val="0"/>
        <extend val="0"/>
        <outline val="0"/>
        <shadow val="0"/>
        <u val="none"/>
        <vertAlign val="baseline"/>
        <sz val="11"/>
        <color theme="1"/>
        <name val="Flexo"/>
        <family val="2"/>
        <scheme val="minor"/>
      </font>
    </dxf>
    <dxf>
      <border outline="0">
        <bottom style="thin">
          <color indexed="64"/>
        </bottom>
      </border>
    </dxf>
    <dxf>
      <font>
        <b/>
        <i val="0"/>
        <strike val="0"/>
        <condense val="0"/>
        <extend val="0"/>
        <outline val="0"/>
        <shadow val="0"/>
        <u val="none"/>
        <vertAlign val="baseline"/>
        <sz val="11"/>
        <color theme="1"/>
        <name val="Flexo"/>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1"/>
        <name val="Flexo"/>
        <family val="2"/>
        <scheme val="minor"/>
      </font>
      <numFmt numFmtId="169" formatCode="_-* #,##0_-;\-* #,##0_-;_-* &quot;-&quot;??_-;_-@_-"/>
      <alignment horizontal="center" vertical="bottom" textRotation="0" wrapText="0"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1"/>
        <color theme="1"/>
        <name val="Flexo"/>
        <family val="2"/>
        <scheme val="minor"/>
      </font>
      <numFmt numFmtId="169" formatCode="_-* #,##0_-;\-* #,##0_-;_-* &quot;-&quot;??_-;_-@_-"/>
      <alignment horizontal="center" vertical="bottom" textRotation="0" wrapText="0" indent="0" justifyLastLine="0" shrinkToFit="0" readingOrder="0"/>
      <border diagonalUp="0" diagonalDown="0">
        <left style="thin">
          <color indexed="64"/>
        </left>
        <right/>
        <top/>
        <bottom style="thin">
          <color indexed="64"/>
        </bottom>
        <vertical/>
        <horizontal/>
      </border>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border diagonalUp="0" diagonalDown="0">
        <left style="thin">
          <color indexed="64"/>
        </left>
        <right/>
        <top/>
        <bottom/>
        <vertical/>
        <horizontal/>
      </border>
    </dxf>
    <dxf>
      <font>
        <b val="0"/>
        <i val="0"/>
        <strike val="0"/>
        <condense val="0"/>
        <extend val="0"/>
        <outline val="0"/>
        <shadow val="0"/>
        <u val="none"/>
        <vertAlign val="baseline"/>
        <sz val="11"/>
        <color theme="1"/>
        <name val="Flexo"/>
        <family val="2"/>
        <scheme val="minor"/>
      </font>
      <numFmt numFmtId="169" formatCode="_-* #,##0_-;\-* #,##0_-;_-* &quot;-&quot;??_-;_-@_-"/>
    </dxf>
    <dxf>
      <border diagonalUp="0" diagonalDown="0">
        <left/>
        <right style="thin">
          <color indexed="64"/>
        </right>
        <top/>
        <bottom style="thin">
          <color indexed="64"/>
        </bottom>
        <vertical/>
        <horizontal/>
      </border>
    </dxf>
    <dxf>
      <border outline="0">
        <left style="medium">
          <color indexed="64"/>
        </left>
        <right style="medium">
          <color indexed="64"/>
        </right>
        <top style="thin">
          <color indexed="64"/>
        </top>
        <bottom style="medium">
          <color indexed="64"/>
        </bottom>
      </border>
    </dxf>
    <dxf>
      <font>
        <b val="0"/>
        <i val="0"/>
        <strike val="0"/>
        <condense val="0"/>
        <extend val="0"/>
        <outline val="0"/>
        <shadow val="0"/>
        <u val="none"/>
        <vertAlign val="baseline"/>
        <sz val="11"/>
        <color theme="1"/>
        <name val="Flexo"/>
        <family val="2"/>
        <scheme val="minor"/>
      </font>
    </dxf>
    <dxf>
      <border outline="0">
        <bottom style="thin">
          <color indexed="64"/>
        </bottom>
      </border>
    </dxf>
    <dxf>
      <font>
        <b/>
        <i val="0"/>
        <strike val="0"/>
        <condense val="0"/>
        <extend val="0"/>
        <outline val="0"/>
        <shadow val="0"/>
        <u val="none"/>
        <vertAlign val="baseline"/>
        <sz val="11"/>
        <color theme="1"/>
        <name val="Flexo"/>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1"/>
        <name val="Flexo"/>
        <family val="2"/>
        <scheme val="minor"/>
      </font>
      <numFmt numFmtId="169" formatCode="_-* #,##0_-;\-* #,##0_-;_-* &quot;-&quot;??_-;_-@_-"/>
      <alignment horizontal="center" vertical="bottom" textRotation="0" wrapText="0"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1"/>
        <color theme="1"/>
        <name val="Flexo"/>
        <family val="2"/>
        <scheme val="minor"/>
      </font>
      <numFmt numFmtId="169" formatCode="_-* #,##0_-;\-* #,##0_-;_-* &quot;-&quot;??_-;_-@_-"/>
      <alignment horizontal="center" vertical="bottom" textRotation="0" wrapText="0" indent="0" justifyLastLine="0" shrinkToFit="0" readingOrder="0"/>
      <border diagonalUp="0" diagonalDown="0">
        <left style="thin">
          <color indexed="64"/>
        </left>
        <right/>
        <top/>
        <bottom style="thin">
          <color indexed="64"/>
        </bottom>
        <vertical/>
        <horizontal/>
      </border>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dxf>
    <dxf>
      <font>
        <b val="0"/>
        <i val="0"/>
        <strike val="0"/>
        <condense val="0"/>
        <extend val="0"/>
        <outline val="0"/>
        <shadow val="0"/>
        <u val="none"/>
        <vertAlign val="baseline"/>
        <sz val="11"/>
        <color theme="1"/>
        <name val="Flexo"/>
        <family val="2"/>
        <scheme val="minor"/>
      </font>
      <numFmt numFmtId="169" formatCode="_-* #,##0_-;\-* #,##0_-;_-* &quot;-&quot;??_-;_-@_-"/>
      <border diagonalUp="0" diagonalDown="0">
        <left style="thin">
          <color indexed="64"/>
        </left>
        <right/>
        <top/>
        <bottom/>
        <vertical/>
        <horizontal/>
      </border>
    </dxf>
    <dxf>
      <font>
        <b val="0"/>
        <i val="0"/>
        <strike val="0"/>
        <condense val="0"/>
        <extend val="0"/>
        <outline val="0"/>
        <shadow val="0"/>
        <u val="none"/>
        <vertAlign val="baseline"/>
        <sz val="11"/>
        <color theme="1"/>
        <name val="Flexo"/>
        <family val="2"/>
        <scheme val="minor"/>
      </font>
      <numFmt numFmtId="169" formatCode="_-* #,##0_-;\-* #,##0_-;_-* &quot;-&quot;??_-;_-@_-"/>
      <border diagonalUp="0" diagonalDown="0">
        <left style="thin">
          <color indexed="64"/>
        </left>
        <right style="thin">
          <color indexed="64"/>
        </right>
        <top/>
        <bottom style="thin">
          <color indexed="64"/>
        </bottom>
        <vertical/>
        <horizontal/>
      </border>
    </dxf>
    <dxf>
      <border outline="0">
        <left style="medium">
          <color indexed="64"/>
        </left>
        <right style="medium">
          <color indexed="64"/>
        </right>
        <top style="thin">
          <color indexed="64"/>
        </top>
        <bottom style="medium">
          <color indexed="64"/>
        </bottom>
      </border>
    </dxf>
    <dxf>
      <font>
        <b val="0"/>
        <i val="0"/>
        <strike val="0"/>
        <condense val="0"/>
        <extend val="0"/>
        <outline val="0"/>
        <shadow val="0"/>
        <u val="none"/>
        <vertAlign val="baseline"/>
        <sz val="11"/>
        <color theme="1"/>
        <name val="Flexo"/>
        <family val="2"/>
        <scheme val="minor"/>
      </font>
    </dxf>
    <dxf>
      <border outline="0">
        <bottom style="thin">
          <color indexed="64"/>
        </bottom>
      </border>
    </dxf>
    <dxf>
      <font>
        <b/>
        <i val="0"/>
        <strike val="0"/>
        <condense val="0"/>
        <extend val="0"/>
        <outline val="0"/>
        <shadow val="0"/>
        <u val="none"/>
        <vertAlign val="baseline"/>
        <sz val="11"/>
        <color theme="1"/>
        <name val="Flexo"/>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1"/>
        <name val="Flexo"/>
        <family val="2"/>
        <scheme val="minor"/>
      </font>
      <numFmt numFmtId="169" formatCode="_-* #,##0_-;\-* #,##0_-;_-* &quot;-&quot;??_-;_-@_-"/>
      <alignment horizontal="center" vertical="bottom" textRotation="0" wrapText="0"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1"/>
        <color theme="1"/>
        <name val="Flexo"/>
        <family val="2"/>
        <scheme val="minor"/>
      </font>
      <numFmt numFmtId="169" formatCode="_-* #,##0_-;\-* #,##0_-;_-* &quot;-&quot;??_-;_-@_-"/>
      <alignment horizontal="center"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1"/>
        <color theme="1"/>
        <name val="Flexo"/>
        <family val="2"/>
        <scheme val="minor"/>
      </font>
      <numFmt numFmtId="169" formatCode="_-* #,##0_-;\-* #,##0_-;_-* &quot;-&quot;??_-;_-@_-"/>
      <alignment horizontal="center" vertical="bottom" textRotation="0" wrapText="0"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theme="1"/>
        <name val="Flexo"/>
        <family val="2"/>
        <scheme val="minor"/>
      </font>
      <numFmt numFmtId="169" formatCode="_-* #,##0_-;\-* #,##0_-;_-* &quot;-&quot;??_-;_-@_-"/>
      <alignment horizontal="center" vertical="bottom" textRotation="0" wrapText="0"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1"/>
        <color theme="1"/>
        <name val="Flexo"/>
        <family val="2"/>
        <scheme val="minor"/>
      </font>
      <numFmt numFmtId="169" formatCode="_-* #,##0_-;\-* #,##0_-;_-* &quot;-&quot;??_-;_-@_-"/>
      <alignment horizontal="center" vertical="bottom" textRotation="0" wrapText="0"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1"/>
        <color theme="1"/>
        <name val="Flexo"/>
        <family val="2"/>
        <scheme val="minor"/>
      </font>
      <numFmt numFmtId="169" formatCode="_-* #,##0_-;\-* #,##0_-;_-* &quot;-&quot;??_-;_-@_-"/>
      <alignment horizontal="center" vertical="bottom" textRotation="0" wrapText="0"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1"/>
        <color theme="1"/>
        <name val="Flexo"/>
        <family val="2"/>
        <scheme val="minor"/>
      </font>
      <numFmt numFmtId="169" formatCode="_-* #,##0_-;\-* #,##0_-;_-* &quot;-&quot;??_-;_-@_-"/>
      <alignment horizontal="center" vertical="bottom" textRotation="0" wrapText="0"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1"/>
        <color theme="1"/>
        <name val="Flexo"/>
        <family val="2"/>
        <scheme val="minor"/>
      </font>
      <numFmt numFmtId="169" formatCode="_-* #,##0_-;\-* #,##0_-;_-* &quot;-&quot;??_-;_-@_-"/>
      <alignment horizontal="center" vertical="bottom" textRotation="0" wrapText="0" indent="0" justifyLastLine="0" shrinkToFit="0" readingOrder="0"/>
      <border diagonalUp="0" diagonalDown="0">
        <left style="thin">
          <color indexed="64"/>
        </left>
        <right/>
        <top/>
        <bottom style="thin">
          <color indexed="64"/>
        </bottom>
        <vertical/>
        <horizontal/>
      </border>
    </dxf>
    <dxf>
      <font>
        <b val="0"/>
        <i val="0"/>
        <strike val="0"/>
        <condense val="0"/>
        <extend val="0"/>
        <outline val="0"/>
        <shadow val="0"/>
        <u val="none"/>
        <vertAlign val="baseline"/>
        <sz val="11"/>
        <color theme="1"/>
        <name val="Flexo"/>
        <family val="2"/>
        <scheme val="minor"/>
      </font>
      <numFmt numFmtId="169" formatCode="_-* #,##0_-;\-* #,##0_-;_-* &quot;-&quot;??_-;_-@_-"/>
    </dxf>
    <dxf>
      <border diagonalUp="0" diagonalDown="0">
        <left/>
        <right style="thin">
          <color indexed="64"/>
        </right>
        <top/>
        <bottom/>
        <vertical/>
        <horizontal/>
      </border>
    </dxf>
    <dxf>
      <border outline="0">
        <left style="medium">
          <color indexed="64"/>
        </left>
        <right style="medium">
          <color indexed="64"/>
        </right>
        <top style="thin">
          <color indexed="64"/>
        </top>
        <bottom style="medium">
          <color indexed="64"/>
        </bottom>
      </border>
    </dxf>
    <dxf>
      <font>
        <b val="0"/>
        <i val="0"/>
        <strike val="0"/>
        <condense val="0"/>
        <extend val="0"/>
        <outline val="0"/>
        <shadow val="0"/>
        <u val="none"/>
        <vertAlign val="baseline"/>
        <sz val="11"/>
        <color theme="1"/>
        <name val="Flexo"/>
        <family val="2"/>
        <scheme val="minor"/>
      </font>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Flexo"/>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1"/>
        <name val="Flexo"/>
        <family val="2"/>
        <scheme val="minor"/>
      </font>
      <numFmt numFmtId="169" formatCode="_-* #,##0_-;\-* #,##0_-;_-* &quot;-&quot;??_-;_-@_-"/>
      <alignment horizontal="center" vertical="bottom" textRotation="0" wrapText="0" indent="0" justifyLastLine="0" shrinkToFit="0" readingOrder="0"/>
    </dxf>
    <dxf>
      <font>
        <b val="0"/>
        <i val="0"/>
        <strike val="0"/>
        <condense val="0"/>
        <extend val="0"/>
        <outline val="0"/>
        <shadow val="0"/>
        <u val="none"/>
        <vertAlign val="baseline"/>
        <sz val="11"/>
        <color theme="1"/>
        <name val="Flexo"/>
        <family val="2"/>
        <scheme val="minor"/>
      </font>
      <numFmt numFmtId="169" formatCode="_-* #,##0_-;\-* #,##0_-;_-* &quot;-&quot;??_-;_-@_-"/>
      <alignment horizontal="center" vertical="bottom" textRotation="0" wrapText="0" indent="0" justifyLastLine="0" shrinkToFit="0" readingOrder="0"/>
      <border diagonalUp="0" diagonalDown="0">
        <left style="thin">
          <color indexed="64"/>
        </left>
        <right/>
        <top/>
        <bottom style="thin">
          <color indexed="64"/>
        </bottom>
        <vertical/>
        <horizontal/>
      </border>
    </dxf>
    <dxf>
      <font>
        <b val="0"/>
        <i val="0"/>
        <strike val="0"/>
        <condense val="0"/>
        <extend val="0"/>
        <outline val="0"/>
        <shadow val="0"/>
        <u val="none"/>
        <vertAlign val="baseline"/>
        <sz val="11"/>
        <color theme="1"/>
        <name val="Flexo"/>
        <family val="2"/>
        <scheme val="minor"/>
      </font>
      <numFmt numFmtId="169" formatCode="_-* #,##0_-;\-* #,##0_-;_-* &quot;-&quot;??_-;_-@_-"/>
      <alignment horizontal="center" vertical="bottom" textRotation="0" wrapText="0" indent="0" justifyLastLine="0" shrinkToFit="0" readingOrder="0"/>
    </dxf>
    <dxf>
      <font>
        <b val="0"/>
        <i val="0"/>
        <strike val="0"/>
        <condense val="0"/>
        <extend val="0"/>
        <outline val="0"/>
        <shadow val="0"/>
        <u val="none"/>
        <vertAlign val="baseline"/>
        <sz val="11"/>
        <color theme="1"/>
        <name val="Flexo"/>
        <family val="2"/>
        <scheme val="minor"/>
      </font>
      <numFmt numFmtId="169" formatCode="_-* #,##0_-;\-* #,##0_-;_-* &quot;-&quot;??_-;_-@_-"/>
      <alignment horizontal="center" vertical="bottom" textRotation="0" wrapText="0" indent="0" justifyLastLine="0" shrinkToFit="0" readingOrder="0"/>
    </dxf>
    <dxf>
      <font>
        <b val="0"/>
        <i val="0"/>
        <strike val="0"/>
        <condense val="0"/>
        <extend val="0"/>
        <outline val="0"/>
        <shadow val="0"/>
        <u val="none"/>
        <vertAlign val="baseline"/>
        <sz val="11"/>
        <color theme="1"/>
        <name val="Flexo"/>
        <family val="2"/>
        <scheme val="minor"/>
      </font>
      <numFmt numFmtId="169" formatCode="_-* #,##0_-;\-* #,##0_-;_-* &quot;-&quot;??_-;_-@_-"/>
      <alignment horizontal="center" vertical="bottom" textRotation="0" wrapText="0" indent="0" justifyLastLine="0" shrinkToFit="0" readingOrder="0"/>
    </dxf>
    <dxf>
      <font>
        <b val="0"/>
        <i val="0"/>
        <strike val="0"/>
        <condense val="0"/>
        <extend val="0"/>
        <outline val="0"/>
        <shadow val="0"/>
        <u val="none"/>
        <vertAlign val="baseline"/>
        <sz val="11"/>
        <color theme="1"/>
        <name val="Flexo"/>
        <family val="2"/>
        <scheme val="minor"/>
      </font>
      <numFmt numFmtId="169" formatCode="_-* #,##0_-;\-* #,##0_-;_-* &quot;-&quot;??_-;_-@_-"/>
      <alignment horizontal="center" vertical="bottom" textRotation="0" wrapText="0" indent="0" justifyLastLine="0" shrinkToFit="0" readingOrder="0"/>
    </dxf>
    <dxf>
      <font>
        <b val="0"/>
        <i val="0"/>
        <strike val="0"/>
        <condense val="0"/>
        <extend val="0"/>
        <outline val="0"/>
        <shadow val="0"/>
        <u val="none"/>
        <vertAlign val="baseline"/>
        <sz val="11"/>
        <color theme="1"/>
        <name val="Flexo"/>
        <family val="2"/>
        <scheme val="minor"/>
      </font>
      <numFmt numFmtId="169" formatCode="_-* #,##0_-;\-* #,##0_-;_-* &quot;-&quot;??_-;_-@_-"/>
      <alignment horizontal="center" vertical="bottom" textRotation="0" wrapText="0" indent="0" justifyLastLine="0" shrinkToFit="0" readingOrder="0"/>
    </dxf>
    <dxf>
      <font>
        <b val="0"/>
        <i val="0"/>
        <strike val="0"/>
        <condense val="0"/>
        <extend val="0"/>
        <outline val="0"/>
        <shadow val="0"/>
        <u val="none"/>
        <vertAlign val="baseline"/>
        <sz val="11"/>
        <color theme="1"/>
        <name val="Flexo"/>
        <family val="2"/>
        <scheme val="minor"/>
      </font>
      <numFmt numFmtId="169" formatCode="_-* #,##0_-;\-* #,##0_-;_-* &quot;-&quot;??_-;_-@_-"/>
      <alignment horizontal="center" vertical="bottom" textRotation="0" wrapText="0" indent="0" justifyLastLine="0" shrinkToFit="0" readingOrder="0"/>
    </dxf>
    <dxf>
      <font>
        <b val="0"/>
        <i val="0"/>
        <strike val="0"/>
        <condense val="0"/>
        <extend val="0"/>
        <outline val="0"/>
        <shadow val="0"/>
        <u val="none"/>
        <vertAlign val="baseline"/>
        <sz val="11"/>
        <color theme="1"/>
        <name val="Flexo"/>
        <family val="2"/>
        <scheme val="minor"/>
      </font>
      <numFmt numFmtId="169" formatCode="_-* #,##0_-;\-* #,##0_-;_-* &quot;-&quot;??_-;_-@_-"/>
      <alignment horizontal="center" vertical="bottom" textRotation="0" wrapText="0" indent="0" justifyLastLine="0" shrinkToFit="0" readingOrder="0"/>
      <border diagonalUp="0" diagonalDown="0">
        <left style="medium">
          <color indexed="64"/>
        </left>
        <right style="thin">
          <color indexed="64"/>
        </right>
        <top/>
        <bottom/>
        <vertical/>
        <horizontal/>
      </border>
    </dxf>
    <dxf>
      <border diagonalUp="0" diagonalDown="0">
        <left style="thin">
          <color indexed="64"/>
        </left>
        <right/>
        <top/>
        <bottom/>
        <vertical/>
        <horizontal/>
      </border>
    </dxf>
    <dxf>
      <border outline="0">
        <right style="thin">
          <color indexed="64"/>
        </right>
      </border>
    </dxf>
    <dxf>
      <font>
        <b val="0"/>
        <i val="0"/>
        <strike val="0"/>
        <condense val="0"/>
        <extend val="0"/>
        <outline val="0"/>
        <shadow val="0"/>
        <u val="none"/>
        <vertAlign val="baseline"/>
        <sz val="11"/>
        <color theme="1"/>
        <name val="Flexo"/>
        <family val="2"/>
        <scheme val="minor"/>
      </font>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Flexo"/>
        <family val="2"/>
        <scheme val="minor"/>
      </font>
      <alignment horizontal="center" vertical="bottom" textRotation="0" wrapText="0" indent="0" justifyLastLine="0" shrinkToFit="0" readingOrder="0"/>
    </dxf>
  </dxfs>
  <tableStyles count="0" defaultTableStyle="TableStyleMedium2" defaultPivotStyle="PivotStyleLight16"/>
  <colors>
    <mruColors>
      <color rgb="FFE1DC0E"/>
      <color rgb="FFB5B8C7"/>
      <color rgb="FFF8F8F8"/>
      <color rgb="FFFFFFFF"/>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1.xml"/><Relationship Id="rId18" Type="http://schemas.openxmlformats.org/officeDocument/2006/relationships/sharedStrings" Target="sharedStrings.xml"/><Relationship Id="rId26" Type="http://schemas.openxmlformats.org/officeDocument/2006/relationships/customXml" Target="../customXml/item6.xml"/><Relationship Id="rId21" Type="http://schemas.openxmlformats.org/officeDocument/2006/relationships/customXml" Target="../customXml/item1.xml"/><Relationship Id="rId34" Type="http://schemas.openxmlformats.org/officeDocument/2006/relationships/customXml" Target="../customXml/item14.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styles" Target="styles.xml"/><Relationship Id="rId25" Type="http://schemas.openxmlformats.org/officeDocument/2006/relationships/customXml" Target="../customXml/item5.xml"/><Relationship Id="rId33" Type="http://schemas.openxmlformats.org/officeDocument/2006/relationships/customXml" Target="../customXml/item13.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alcChain" Target="calcChain.xml"/><Relationship Id="rId29" Type="http://schemas.openxmlformats.org/officeDocument/2006/relationships/customXml" Target="../customXml/item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customXml" Target="../customXml/item4.xml"/><Relationship Id="rId32" Type="http://schemas.openxmlformats.org/officeDocument/2006/relationships/customXml" Target="../customXml/item12.xml"/><Relationship Id="rId37" Type="http://schemas.openxmlformats.org/officeDocument/2006/relationships/customXml" Target="../customXml/item17.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3.xml"/><Relationship Id="rId28" Type="http://schemas.openxmlformats.org/officeDocument/2006/relationships/customXml" Target="../customXml/item8.xml"/><Relationship Id="rId36" Type="http://schemas.openxmlformats.org/officeDocument/2006/relationships/customXml" Target="../customXml/item16.xml"/><Relationship Id="rId10" Type="http://schemas.openxmlformats.org/officeDocument/2006/relationships/externalLink" Target="externalLinks/externalLink3.xml"/><Relationship Id="rId19" Type="http://schemas.openxmlformats.org/officeDocument/2006/relationships/powerPivotData" Target="model/item.data"/><Relationship Id="rId31" Type="http://schemas.openxmlformats.org/officeDocument/2006/relationships/customXml" Target="../customXml/item1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microsoft.com/office/2007/relationships/slicerCache" Target="slicerCaches/slicerCache1.xml"/><Relationship Id="rId22" Type="http://schemas.openxmlformats.org/officeDocument/2006/relationships/customXml" Target="../customXml/item2.xml"/><Relationship Id="rId27" Type="http://schemas.openxmlformats.org/officeDocument/2006/relationships/customXml" Target="../customXml/item7.xml"/><Relationship Id="rId30" Type="http://schemas.openxmlformats.org/officeDocument/2006/relationships/customXml" Target="../customXml/item10.xml"/><Relationship Id="rId35" Type="http://schemas.openxmlformats.org/officeDocument/2006/relationships/customXml" Target="../customXml/item15.xml"/><Relationship Id="rId8" Type="http://schemas.openxmlformats.org/officeDocument/2006/relationships/externalLink" Target="externalLinks/externalLink1.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Flexo"/>
                <a:ea typeface="Flexo"/>
                <a:cs typeface="Flexo"/>
              </a:defRPr>
            </a:pPr>
            <a:r>
              <a:rPr lang="de-DE" sz="1100" b="1"/>
              <a:t>Carbon price in the ETS2</a:t>
            </a:r>
          </a:p>
        </c:rich>
      </c:tx>
      <c:layout>
        <c:manualLayout>
          <c:xMode val="edge"/>
          <c:yMode val="edge"/>
          <c:x val="0.22808183831996628"/>
          <c:y val="2.4242384742764009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Flexo"/>
              <a:ea typeface="Flexo"/>
              <a:cs typeface="Flexo"/>
            </a:defRPr>
          </a:pPr>
          <a:endParaRPr lang="de-DE"/>
        </a:p>
      </c:txPr>
    </c:title>
    <c:autoTitleDeleted val="0"/>
    <c:plotArea>
      <c:layout>
        <c:manualLayout>
          <c:layoutTarget val="inner"/>
          <c:xMode val="edge"/>
          <c:yMode val="edge"/>
          <c:x val="0.13503587335291023"/>
          <c:y val="0.27180241050780202"/>
          <c:w val="0.8310903498286113"/>
          <c:h val="0.60295466304461043"/>
        </c:manualLayout>
      </c:layout>
      <c:lineChart>
        <c:grouping val="standard"/>
        <c:varyColors val="0"/>
        <c:ser>
          <c:idx val="1"/>
          <c:order val="0"/>
          <c:tx>
            <c:strRef>
              <c:f>Revenues!$AT$8</c:f>
              <c:strCache>
                <c:ptCount val="1"/>
                <c:pt idx="0">
                  <c:v>[EUR/t]</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Flexo"/>
                    <a:ea typeface="Flexo"/>
                    <a:cs typeface="Flexo"/>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Revenues!$AU$7:$AZ$7</c:f>
              <c:numCache>
                <c:formatCode>General</c:formatCode>
                <c:ptCount val="6"/>
                <c:pt idx="0">
                  <c:v>2027</c:v>
                </c:pt>
                <c:pt idx="1">
                  <c:v>2028</c:v>
                </c:pt>
                <c:pt idx="2">
                  <c:v>2029</c:v>
                </c:pt>
                <c:pt idx="3">
                  <c:v>2030</c:v>
                </c:pt>
                <c:pt idx="4">
                  <c:v>2031</c:v>
                </c:pt>
                <c:pt idx="5">
                  <c:v>2032</c:v>
                </c:pt>
              </c:numCache>
            </c:numRef>
          </c:cat>
          <c:val>
            <c:numRef>
              <c:f>Revenues!$AU$8:$AZ$8</c:f>
              <c:numCache>
                <c:formatCode>0</c:formatCode>
                <c:ptCount val="6"/>
                <c:pt idx="0" formatCode="General">
                  <c:v>46</c:v>
                </c:pt>
                <c:pt idx="1">
                  <c:v>46</c:v>
                </c:pt>
                <c:pt idx="2">
                  <c:v>56</c:v>
                </c:pt>
                <c:pt idx="3">
                  <c:v>67</c:v>
                </c:pt>
                <c:pt idx="4">
                  <c:v>72</c:v>
                </c:pt>
                <c:pt idx="5">
                  <c:v>76</c:v>
                </c:pt>
              </c:numCache>
            </c:numRef>
          </c:val>
          <c:smooth val="0"/>
          <c:extLst>
            <c:ext xmlns:c16="http://schemas.microsoft.com/office/drawing/2014/chart" uri="{C3380CC4-5D6E-409C-BE32-E72D297353CC}">
              <c16:uniqueId val="{00000000-499D-41A7-A13A-D102CE4DC9D7}"/>
            </c:ext>
          </c:extLst>
        </c:ser>
        <c:dLbls>
          <c:dLblPos val="t"/>
          <c:showLegendKey val="0"/>
          <c:showVal val="1"/>
          <c:showCatName val="0"/>
          <c:showSerName val="0"/>
          <c:showPercent val="0"/>
          <c:showBubbleSize val="0"/>
        </c:dLbls>
        <c:smooth val="0"/>
        <c:axId val="1062994864"/>
        <c:axId val="1062965584"/>
      </c:lineChart>
      <c:catAx>
        <c:axId val="1062994864"/>
        <c:scaling>
          <c:orientation val="minMax"/>
        </c:scaling>
        <c:delete val="0"/>
        <c:axPos val="b"/>
        <c:numFmt formatCode="General" sourceLinked="1"/>
        <c:majorTickMark val="none"/>
        <c:minorTickMark val="none"/>
        <c:tickLblPos val="nextTo"/>
        <c:spPr>
          <a:noFill/>
          <a:ln w="6350" cap="flat" cmpd="sng" algn="ctr">
            <a:solidFill>
              <a:srgbClr val="878787"/>
            </a:solidFill>
            <a:prstDash val="solid"/>
            <a:round/>
          </a:ln>
          <a:effectLst/>
        </c:spPr>
        <c:txPr>
          <a:bodyPr rot="-60000000" spcFirstLastPara="1" vertOverflow="ellipsis" vert="horz" wrap="square" anchor="ctr" anchorCtr="1"/>
          <a:lstStyle/>
          <a:p>
            <a:pPr>
              <a:defRPr sz="900" b="0" i="0" u="none" strike="noStrike" kern="1200" baseline="0">
                <a:solidFill>
                  <a:schemeClr val="bg1">
                    <a:lumMod val="50000"/>
                  </a:schemeClr>
                </a:solidFill>
                <a:latin typeface="Flexo"/>
                <a:ea typeface="Flexo"/>
                <a:cs typeface="Flexo"/>
              </a:defRPr>
            </a:pPr>
            <a:endParaRPr lang="de-DE"/>
          </a:p>
        </c:txPr>
        <c:crossAx val="1062965584"/>
        <c:crosses val="autoZero"/>
        <c:auto val="1"/>
        <c:lblAlgn val="ctr"/>
        <c:lblOffset val="100"/>
        <c:noMultiLvlLbl val="0"/>
      </c:catAx>
      <c:valAx>
        <c:axId val="1062965584"/>
        <c:scaling>
          <c:orientation val="minMax"/>
        </c:scaling>
        <c:delete val="0"/>
        <c:axPos val="l"/>
        <c:majorGridlines>
          <c:spPr>
            <a:ln w="9525" cap="flat" cmpd="sng" algn="ctr">
              <a:solidFill>
                <a:schemeClr val="bg2">
                  <a:lumMod val="85000"/>
                </a:schemeClr>
              </a:solidFill>
              <a:prstDash val="solid"/>
              <a:round/>
            </a:ln>
            <a:effectLst/>
          </c:spPr>
        </c:majorGridlines>
        <c:title>
          <c:tx>
            <c:rich>
              <a:bodyPr rot="0" spcFirstLastPara="1" vertOverflow="ellipsis" wrap="square" anchor="ctr" anchorCtr="1"/>
              <a:lstStyle/>
              <a:p>
                <a:pPr>
                  <a:defRPr sz="900" b="0" i="0" u="none" strike="noStrike" kern="1200" baseline="0">
                    <a:solidFill>
                      <a:schemeClr val="bg1">
                        <a:lumMod val="50000"/>
                      </a:schemeClr>
                    </a:solidFill>
                    <a:latin typeface="Flexo"/>
                    <a:ea typeface="Flexo"/>
                    <a:cs typeface="Flexo"/>
                  </a:defRPr>
                </a:pPr>
                <a:r>
                  <a:rPr lang="de-DE" sz="900">
                    <a:solidFill>
                      <a:schemeClr val="bg1">
                        <a:lumMod val="50000"/>
                      </a:schemeClr>
                    </a:solidFill>
                  </a:rPr>
                  <a:t>[EUR/tCO</a:t>
                </a:r>
                <a:r>
                  <a:rPr lang="de-DE" sz="900" baseline="-25000">
                    <a:solidFill>
                      <a:schemeClr val="bg1">
                        <a:lumMod val="50000"/>
                      </a:schemeClr>
                    </a:solidFill>
                  </a:rPr>
                  <a:t>2</a:t>
                </a:r>
                <a:r>
                  <a:rPr lang="de-DE" sz="900">
                    <a:solidFill>
                      <a:schemeClr val="bg1">
                        <a:lumMod val="50000"/>
                      </a:schemeClr>
                    </a:solidFill>
                  </a:rPr>
                  <a:t>]</a:t>
                </a:r>
              </a:p>
            </c:rich>
          </c:tx>
          <c:layout>
            <c:manualLayout>
              <c:xMode val="edge"/>
              <c:yMode val="edge"/>
              <c:x val="5.5764885052231067E-2"/>
              <c:y val="0.12344855209486222"/>
            </c:manualLayout>
          </c:layout>
          <c:overlay val="0"/>
          <c:spPr>
            <a:noFill/>
            <a:ln>
              <a:noFill/>
            </a:ln>
            <a:effectLst/>
          </c:spPr>
          <c:txPr>
            <a:bodyPr rot="0" spcFirstLastPara="1" vertOverflow="ellipsis" wrap="square" anchor="ctr" anchorCtr="1"/>
            <a:lstStyle/>
            <a:p>
              <a:pPr>
                <a:defRPr sz="900" b="0" i="0" u="none" strike="noStrike" kern="1200" baseline="0">
                  <a:solidFill>
                    <a:schemeClr val="bg1">
                      <a:lumMod val="50000"/>
                    </a:schemeClr>
                  </a:solidFill>
                  <a:latin typeface="Flexo"/>
                  <a:ea typeface="Flexo"/>
                  <a:cs typeface="Flexo"/>
                </a:defRPr>
              </a:pPr>
              <a:endParaRPr lang="de-DE"/>
            </a:p>
          </c:txPr>
        </c:title>
        <c:numFmt formatCode="General" sourceLinked="1"/>
        <c:majorTickMark val="none"/>
        <c:minorTickMark val="none"/>
        <c:tickLblPos val="nextTo"/>
        <c:spPr>
          <a:noFill/>
          <a:ln>
            <a:solidFill>
              <a:srgbClr val="F8F8F8"/>
            </a:solidFill>
            <a:prstDash val="solid"/>
          </a:ln>
          <a:effectLst/>
        </c:spPr>
        <c:txPr>
          <a:bodyPr rot="-60000000" spcFirstLastPara="1" vertOverflow="ellipsis" vert="horz" wrap="square" anchor="ctr" anchorCtr="1"/>
          <a:lstStyle/>
          <a:p>
            <a:pPr>
              <a:defRPr sz="900" b="0" i="0" u="none" strike="noStrike" kern="1200" baseline="0">
                <a:solidFill>
                  <a:schemeClr val="bg1">
                    <a:lumMod val="50000"/>
                  </a:schemeClr>
                </a:solidFill>
                <a:latin typeface="Flexo"/>
                <a:ea typeface="Flexo"/>
                <a:cs typeface="Flexo"/>
              </a:defRPr>
            </a:pPr>
            <a:endParaRPr lang="de-DE"/>
          </a:p>
        </c:txPr>
        <c:crossAx val="1062994864"/>
        <c:crosses val="autoZero"/>
        <c:crossBetween val="between"/>
      </c:valAx>
      <c:spPr>
        <a:solidFill>
          <a:srgbClr val="F8F8F8"/>
        </a:solid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rgbClr val="F8F8F8"/>
    </a:solidFill>
    <a:ln w="9525" cap="flat" cmpd="sng" algn="ctr">
      <a:solidFill>
        <a:srgbClr val="F8F8F8"/>
      </a:solidFill>
      <a:prstDash val="solid"/>
      <a:round/>
    </a:ln>
    <a:effectLst/>
  </c:spPr>
  <c:txPr>
    <a:bodyPr/>
    <a:lstStyle/>
    <a:p>
      <a:pPr>
        <a:defRPr sz="1100">
          <a:solidFill>
            <a:sysClr val="windowText" lastClr="000000"/>
          </a:solidFill>
          <a:latin typeface="Flexo"/>
          <a:ea typeface="Flexo"/>
          <a:cs typeface="Flexo"/>
        </a:defRPr>
      </a:pPr>
      <a:endParaRPr lang="de-D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[ETS2_revenue_simulation_tool_v1.xlsx]Tables!revenue per capita</c:name>
    <c:fmtId val="4"/>
  </c:pivotSource>
  <c:chart>
    <c:title>
      <c:tx>
        <c:rich>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r>
              <a:rPr lang="de-DE" sz="1100" b="1"/>
              <a:t>SCF and ETS2 revenues per capita </a:t>
            </a:r>
          </a:p>
        </c:rich>
      </c:tx>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endParaRPr lang="de-DE"/>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3">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46"/>
        <c:spPr>
          <a:pattFill prst="dkUpDiag">
            <a:fgClr>
              <a:schemeClr val="accent3"/>
            </a:fgClr>
            <a:bgClr>
              <a:schemeClr val="bg1"/>
            </a:bgClr>
          </a:patt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364138478191951"/>
          <c:y val="0.24465768043791677"/>
          <c:w val="0.84007780199707927"/>
          <c:h val="0.6834364211054792"/>
        </c:manualLayout>
      </c:layout>
      <c:barChart>
        <c:barDir val="col"/>
        <c:grouping val="stacked"/>
        <c:varyColors val="0"/>
        <c:ser>
          <c:idx val="0"/>
          <c:order val="0"/>
          <c:tx>
            <c:strRef>
              <c:f>Tables!$B$16</c:f>
              <c:strCache>
                <c:ptCount val="1"/>
                <c:pt idx="0">
                  <c:v>SCF incl. own contribution</c:v>
                </c:pt>
              </c:strCache>
            </c:strRef>
          </c:tx>
          <c:spPr>
            <a:solidFill>
              <a:schemeClr val="accent1"/>
            </a:solidFill>
            <a:ln>
              <a:noFill/>
            </a:ln>
            <a:effectLst/>
          </c:spPr>
          <c:invertIfNegative val="0"/>
          <c:cat>
            <c:strRef>
              <c:f>Tables!$A$17:$A$23</c:f>
              <c:strCache>
                <c:ptCount val="7"/>
                <c:pt idx="0">
                  <c:v>2026</c:v>
                </c:pt>
                <c:pt idx="1">
                  <c:v>2027</c:v>
                </c:pt>
                <c:pt idx="2">
                  <c:v>2028</c:v>
                </c:pt>
                <c:pt idx="3">
                  <c:v>2029</c:v>
                </c:pt>
                <c:pt idx="4">
                  <c:v>2030</c:v>
                </c:pt>
                <c:pt idx="5">
                  <c:v>2031</c:v>
                </c:pt>
                <c:pt idx="6">
                  <c:v>2032</c:v>
                </c:pt>
              </c:strCache>
            </c:strRef>
          </c:cat>
          <c:val>
            <c:numRef>
              <c:f>Tables!$B$17:$B$23</c:f>
              <c:numCache>
                <c:formatCode>0.0</c:formatCode>
                <c:ptCount val="7"/>
                <c:pt idx="0">
                  <c:v>5.1830821867947883</c:v>
                </c:pt>
                <c:pt idx="1">
                  <c:v>14.123898959015797</c:v>
                </c:pt>
                <c:pt idx="2">
                  <c:v>13.60559074033632</c:v>
                </c:pt>
                <c:pt idx="3">
                  <c:v>13.34643663099658</c:v>
                </c:pt>
                <c:pt idx="4">
                  <c:v>13.08728252165684</c:v>
                </c:pt>
                <c:pt idx="5">
                  <c:v>12.698551357647231</c:v>
                </c:pt>
                <c:pt idx="6">
                  <c:v>12.180243138967752</c:v>
                </c:pt>
              </c:numCache>
            </c:numRef>
          </c:val>
          <c:extLst>
            <c:ext xmlns:c16="http://schemas.microsoft.com/office/drawing/2014/chart" uri="{C3380CC4-5D6E-409C-BE32-E72D297353CC}">
              <c16:uniqueId val="{00000000-1321-466C-AAF1-01498EF4445B}"/>
            </c:ext>
          </c:extLst>
        </c:ser>
        <c:ser>
          <c:idx val="1"/>
          <c:order val="1"/>
          <c:tx>
            <c:strRef>
              <c:f>Tables!$C$16</c:f>
              <c:strCache>
                <c:ptCount val="1"/>
                <c:pt idx="0">
                  <c:v>Rest of ETS2 revenues</c:v>
                </c:pt>
              </c:strCache>
            </c:strRef>
          </c:tx>
          <c:spPr>
            <a:solidFill>
              <a:schemeClr val="accent3">
                <a:lumMod val="75000"/>
              </a:schemeClr>
            </a:solidFill>
            <a:ln>
              <a:noFill/>
            </a:ln>
            <a:effectLst/>
          </c:spPr>
          <c:invertIfNegative val="0"/>
          <c:cat>
            <c:strRef>
              <c:f>Tables!$A$17:$A$23</c:f>
              <c:strCache>
                <c:ptCount val="7"/>
                <c:pt idx="0">
                  <c:v>2026</c:v>
                </c:pt>
                <c:pt idx="1">
                  <c:v>2027</c:v>
                </c:pt>
                <c:pt idx="2">
                  <c:v>2028</c:v>
                </c:pt>
                <c:pt idx="3">
                  <c:v>2029</c:v>
                </c:pt>
                <c:pt idx="4">
                  <c:v>2030</c:v>
                </c:pt>
                <c:pt idx="5">
                  <c:v>2031</c:v>
                </c:pt>
                <c:pt idx="6">
                  <c:v>2032</c:v>
                </c:pt>
              </c:strCache>
            </c:strRef>
          </c:cat>
          <c:val>
            <c:numRef>
              <c:f>Tables!$C$17:$C$23</c:f>
              <c:numCache>
                <c:formatCode>0.0</c:formatCode>
                <c:ptCount val="7"/>
                <c:pt idx="0">
                  <c:v>0</c:v>
                </c:pt>
                <c:pt idx="1">
                  <c:v>29.781483417561468</c:v>
                </c:pt>
                <c:pt idx="2">
                  <c:v>108.75440462098101</c:v>
                </c:pt>
                <c:pt idx="3">
                  <c:v>146.64323839502552</c:v>
                </c:pt>
                <c:pt idx="4">
                  <c:v>143.4192860867083</c:v>
                </c:pt>
                <c:pt idx="5">
                  <c:v>158.02333034251527</c:v>
                </c:pt>
                <c:pt idx="6">
                  <c:v>114.55089955956126</c:v>
                </c:pt>
              </c:numCache>
            </c:numRef>
          </c:val>
          <c:extLst>
            <c:ext xmlns:c16="http://schemas.microsoft.com/office/drawing/2014/chart" uri="{C3380CC4-5D6E-409C-BE32-E72D297353CC}">
              <c16:uniqueId val="{00000001-1321-466C-AAF1-01498EF4445B}"/>
            </c:ext>
          </c:extLst>
        </c:ser>
        <c:ser>
          <c:idx val="2"/>
          <c:order val="2"/>
          <c:tx>
            <c:strRef>
              <c:f>Tables!$D$16</c:f>
              <c:strCache>
                <c:ptCount val="1"/>
                <c:pt idx="0">
                  <c:v>Optional frontloading</c:v>
                </c:pt>
              </c:strCache>
            </c:strRef>
          </c:tx>
          <c:spPr>
            <a:pattFill prst="dkUpDiag">
              <a:fgClr>
                <a:schemeClr val="accent3"/>
              </a:fgClr>
              <a:bgClr>
                <a:schemeClr val="bg1"/>
              </a:bgClr>
            </a:pattFill>
            <a:ln>
              <a:noFill/>
            </a:ln>
            <a:effectLst/>
          </c:spPr>
          <c:invertIfNegative val="0"/>
          <c:cat>
            <c:strRef>
              <c:f>Tables!$A$17:$A$23</c:f>
              <c:strCache>
                <c:ptCount val="7"/>
                <c:pt idx="0">
                  <c:v>2026</c:v>
                </c:pt>
                <c:pt idx="1">
                  <c:v>2027</c:v>
                </c:pt>
                <c:pt idx="2">
                  <c:v>2028</c:v>
                </c:pt>
                <c:pt idx="3">
                  <c:v>2029</c:v>
                </c:pt>
                <c:pt idx="4">
                  <c:v>2030</c:v>
                </c:pt>
                <c:pt idx="5">
                  <c:v>2031</c:v>
                </c:pt>
                <c:pt idx="6">
                  <c:v>2032</c:v>
                </c:pt>
              </c:strCache>
            </c:strRef>
          </c:cat>
          <c:val>
            <c:numRef>
              <c:f>Tables!$D$17:$D$23</c:f>
              <c:numCache>
                <c:formatCode>0.0</c:formatCode>
                <c:ptCount val="7"/>
                <c:pt idx="0">
                  <c:v>50.738755120521304</c:v>
                </c:pt>
                <c:pt idx="1">
                  <c:v>22.253042249658538</c:v>
                </c:pt>
                <c:pt idx="2">
                  <c:v>0</c:v>
                </c:pt>
                <c:pt idx="3">
                  <c:v>0</c:v>
                </c:pt>
                <c:pt idx="4">
                  <c:v>-19.936599872498086</c:v>
                </c:pt>
                <c:pt idx="5">
                  <c:v>-19.936599872498086</c:v>
                </c:pt>
                <c:pt idx="6">
                  <c:v>-19.936599872498086</c:v>
                </c:pt>
              </c:numCache>
            </c:numRef>
          </c:val>
          <c:extLst>
            <c:ext xmlns:c16="http://schemas.microsoft.com/office/drawing/2014/chart" uri="{C3380CC4-5D6E-409C-BE32-E72D297353CC}">
              <c16:uniqueId val="{00000000-5C91-4624-968F-E74C35EAAF03}"/>
            </c:ext>
          </c:extLst>
        </c:ser>
        <c:dLbls>
          <c:showLegendKey val="0"/>
          <c:showVal val="0"/>
          <c:showCatName val="0"/>
          <c:showSerName val="0"/>
          <c:showPercent val="0"/>
          <c:showBubbleSize val="0"/>
        </c:dLbls>
        <c:gapWidth val="100"/>
        <c:overlap val="100"/>
        <c:axId val="1030639231"/>
        <c:axId val="1030653151"/>
      </c:barChart>
      <c:catAx>
        <c:axId val="10306392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1">
                    <a:lumMod val="50000"/>
                  </a:schemeClr>
                </a:solidFill>
                <a:latin typeface="+mn-lt"/>
                <a:ea typeface="+mn-ea"/>
                <a:cs typeface="+mn-cs"/>
              </a:defRPr>
            </a:pPr>
            <a:endParaRPr lang="de-DE"/>
          </a:p>
        </c:txPr>
        <c:crossAx val="1030653151"/>
        <c:crosses val="autoZero"/>
        <c:auto val="1"/>
        <c:lblAlgn val="ctr"/>
        <c:lblOffset val="100"/>
        <c:noMultiLvlLbl val="0"/>
      </c:catAx>
      <c:valAx>
        <c:axId val="1030653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900" b="0" i="0" u="none" strike="noStrike" kern="1200" baseline="0">
                    <a:solidFill>
                      <a:schemeClr val="bg1">
                        <a:lumMod val="50000"/>
                      </a:schemeClr>
                    </a:solidFill>
                    <a:latin typeface="+mn-lt"/>
                    <a:ea typeface="+mn-ea"/>
                    <a:cs typeface="+mn-cs"/>
                  </a:defRPr>
                </a:pPr>
                <a:r>
                  <a:rPr lang="de-DE" sz="900">
                    <a:solidFill>
                      <a:schemeClr val="bg1">
                        <a:lumMod val="50000"/>
                      </a:schemeClr>
                    </a:solidFill>
                  </a:rPr>
                  <a:t>[EUR per capita]</a:t>
                </a:r>
              </a:p>
            </c:rich>
          </c:tx>
          <c:layout>
            <c:manualLayout>
              <c:xMode val="edge"/>
              <c:yMode val="edge"/>
              <c:x val="1.7522222222222225E-3"/>
              <c:y val="7.6565767973856211E-2"/>
            </c:manualLayout>
          </c:layout>
          <c:overlay val="0"/>
          <c:spPr>
            <a:noFill/>
            <a:ln>
              <a:noFill/>
            </a:ln>
            <a:effectLst/>
          </c:spPr>
          <c:txPr>
            <a:bodyPr rot="0" spcFirstLastPara="1" vertOverflow="ellipsis" wrap="square" anchor="ctr" anchorCtr="1"/>
            <a:lstStyle/>
            <a:p>
              <a:pPr>
                <a:defRPr sz="900" b="0" i="0" u="none" strike="noStrike" kern="1200" baseline="0">
                  <a:solidFill>
                    <a:schemeClr val="bg1">
                      <a:lumMod val="50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lumMod val="50000"/>
                  </a:schemeClr>
                </a:solidFill>
                <a:latin typeface="+mn-lt"/>
                <a:ea typeface="+mn-ea"/>
                <a:cs typeface="+mn-cs"/>
              </a:defRPr>
            </a:pPr>
            <a:endParaRPr lang="de-DE"/>
          </a:p>
        </c:txPr>
        <c:crossAx val="103063923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solidFill>
            <a:sysClr val="windowText" lastClr="000000"/>
          </a:solidFill>
        </a:defRPr>
      </a:pPr>
      <a:endParaRPr lang="de-DE"/>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[ETS2_revenue_simulation_tool_v1.xlsx]Tables!Redistribution per capita</c:name>
    <c:fmtId val="6"/>
  </c:pivotSource>
  <c:chart>
    <c:title>
      <c:tx>
        <c:rich>
          <a:bodyPr rot="0" spcFirstLastPara="1" vertOverflow="ellipsis" vert="horz" wrap="square" anchor="ctr" anchorCtr="1"/>
          <a:lstStyle/>
          <a:p>
            <a:pPr algn="ctr" rtl="0">
              <a:defRPr sz="1100" b="1" i="0" u="none" strike="noStrike" kern="1200" spc="0" baseline="0">
                <a:solidFill>
                  <a:sysClr val="windowText" lastClr="000000"/>
                </a:solidFill>
                <a:latin typeface="+mn-lt"/>
                <a:ea typeface="+mn-ea"/>
                <a:cs typeface="+mn-cs"/>
              </a:defRPr>
            </a:pPr>
            <a:r>
              <a:rPr lang="en-US" sz="1100" b="1"/>
              <a:t>Maximum direct income support per</a:t>
            </a:r>
            <a:r>
              <a:rPr lang="en-US" sz="1100" b="1" baseline="0"/>
              <a:t> </a:t>
            </a:r>
            <a:r>
              <a:rPr lang="en-US" sz="1100" b="1"/>
              <a:t>capita</a:t>
            </a:r>
          </a:p>
        </c:rich>
      </c:tx>
      <c:layout>
        <c:manualLayout>
          <c:xMode val="edge"/>
          <c:yMode val="edge"/>
          <c:x val="8.6919300391786164E-2"/>
          <c:y val="2.6586704291399234E-2"/>
        </c:manualLayout>
      </c:layout>
      <c:overlay val="0"/>
      <c:spPr>
        <a:noFill/>
        <a:ln>
          <a:noFill/>
        </a:ln>
        <a:effectLst/>
      </c:spPr>
      <c:txPr>
        <a:bodyPr rot="0" spcFirstLastPara="1" vertOverflow="ellipsis" vert="horz" wrap="square" anchor="ctr" anchorCtr="1"/>
        <a:lstStyle/>
        <a:p>
          <a:pPr algn="ctr" rtl="0">
            <a:defRPr sz="1100" b="1" i="0" u="none" strike="noStrike" kern="1200" spc="0" baseline="0">
              <a:solidFill>
                <a:sysClr val="windowText" lastClr="000000"/>
              </a:solidFill>
              <a:latin typeface="+mn-lt"/>
              <a:ea typeface="+mn-ea"/>
              <a:cs typeface="+mn-cs"/>
            </a:defRPr>
          </a:pPr>
          <a:endParaRPr lang="de-DE"/>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37"/>
        <c:spPr>
          <a:ln w="28575" cap="rnd">
            <a:noFill/>
            <a:round/>
          </a:ln>
          <a:effectLst/>
        </c:spPr>
        <c:marker>
          <c:symbol val="circle"/>
          <c:size val="6"/>
          <c:spPr>
            <a:solidFill>
              <a:schemeClr val="accent5">
                <a:lumMod val="20000"/>
                <a:lumOff val="80000"/>
              </a:schemeClr>
            </a:solidFill>
            <a:ln w="6350">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40"/>
        <c:spPr>
          <a:ln w="28575" cap="rnd">
            <a:noFill/>
            <a:round/>
          </a:ln>
          <a:effectLst/>
        </c:spPr>
        <c:marker>
          <c:symbol val="circle"/>
          <c:size val="9"/>
          <c:spPr>
            <a:solidFill>
              <a:schemeClr val="accent3"/>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42"/>
        <c:spPr>
          <a:ln w="19050" cap="rnd">
            <a:solidFill>
              <a:schemeClr val="tx1"/>
            </a:solidFill>
            <a:prstDash val="sysDot"/>
            <a:round/>
          </a:ln>
          <a:effectLst/>
        </c:spPr>
        <c:marker>
          <c:symbol val="x"/>
          <c:size val="6"/>
          <c:spPr>
            <a:noFill/>
            <a:ln w="15875">
              <a:solidFill>
                <a:schemeClr val="tx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3658729190766755"/>
          <c:y val="0.20957831872204877"/>
          <c:w val="0.7795216374842644"/>
          <c:h val="0.48587453984411733"/>
        </c:manualLayout>
      </c:layout>
      <c:barChart>
        <c:barDir val="col"/>
        <c:grouping val="stacked"/>
        <c:varyColors val="0"/>
        <c:ser>
          <c:idx val="1"/>
          <c:order val="1"/>
          <c:tx>
            <c:strRef>
              <c:f>Tables!$C$29</c:f>
              <c:strCache>
                <c:ptCount val="1"/>
                <c:pt idx="0">
                  <c:v>Only to pop. at risk of poverty (SCF only)</c:v>
                </c:pt>
              </c:strCache>
            </c:strRef>
          </c:tx>
          <c:spPr>
            <a:solidFill>
              <a:schemeClr val="accent1"/>
            </a:solidFill>
            <a:ln>
              <a:noFill/>
            </a:ln>
            <a:effectLst/>
          </c:spPr>
          <c:invertIfNegative val="0"/>
          <c:cat>
            <c:strRef>
              <c:f>Tables!$A$30:$A$36</c:f>
              <c:strCache>
                <c:ptCount val="7"/>
                <c:pt idx="0">
                  <c:v>2026</c:v>
                </c:pt>
                <c:pt idx="1">
                  <c:v>2027</c:v>
                </c:pt>
                <c:pt idx="2">
                  <c:v>2028</c:v>
                </c:pt>
                <c:pt idx="3">
                  <c:v>2029</c:v>
                </c:pt>
                <c:pt idx="4">
                  <c:v>2030</c:v>
                </c:pt>
                <c:pt idx="5">
                  <c:v>2031</c:v>
                </c:pt>
                <c:pt idx="6">
                  <c:v>2032</c:v>
                </c:pt>
              </c:strCache>
            </c:strRef>
          </c:cat>
          <c:val>
            <c:numRef>
              <c:f>Tables!$C$30:$C$36</c:f>
              <c:numCache>
                <c:formatCode>General</c:formatCode>
                <c:ptCount val="7"/>
                <c:pt idx="0">
                  <c:v>10.965718124559288</c:v>
                </c:pt>
                <c:pt idx="1">
                  <c:v>29.881581889424055</c:v>
                </c:pt>
                <c:pt idx="2">
                  <c:v>28.785010076968131</c:v>
                </c:pt>
                <c:pt idx="3">
                  <c:v>28.236724170740167</c:v>
                </c:pt>
                <c:pt idx="4">
                  <c:v>27.6884382645122</c:v>
                </c:pt>
                <c:pt idx="5">
                  <c:v>26.866009405170253</c:v>
                </c:pt>
                <c:pt idx="6">
                  <c:v>25.769437592714326</c:v>
                </c:pt>
              </c:numCache>
            </c:numRef>
          </c:val>
          <c:extLst>
            <c:ext xmlns:c16="http://schemas.microsoft.com/office/drawing/2014/chart" uri="{C3380CC4-5D6E-409C-BE32-E72D297353CC}">
              <c16:uniqueId val="{00000001-F99E-4AAF-88DC-24CC7F679813}"/>
            </c:ext>
          </c:extLst>
        </c:ser>
        <c:ser>
          <c:idx val="3"/>
          <c:order val="3"/>
          <c:tx>
            <c:strRef>
              <c:f>Tables!$E$29</c:f>
              <c:strCache>
                <c:ptCount val="1"/>
                <c:pt idx="0">
                  <c:v>Only to pop. at risk of poverty (all of ETS2)</c:v>
                </c:pt>
              </c:strCache>
            </c:strRef>
          </c:tx>
          <c:spPr>
            <a:solidFill>
              <a:schemeClr val="accent1">
                <a:lumMod val="60000"/>
                <a:lumOff val="40000"/>
              </a:schemeClr>
            </a:solidFill>
            <a:ln>
              <a:noFill/>
            </a:ln>
            <a:effectLst/>
          </c:spPr>
          <c:invertIfNegative val="0"/>
          <c:cat>
            <c:strRef>
              <c:f>Tables!$A$30:$A$36</c:f>
              <c:strCache>
                <c:ptCount val="7"/>
                <c:pt idx="0">
                  <c:v>2026</c:v>
                </c:pt>
                <c:pt idx="1">
                  <c:v>2027</c:v>
                </c:pt>
                <c:pt idx="2">
                  <c:v>2028</c:v>
                </c:pt>
                <c:pt idx="3">
                  <c:v>2029</c:v>
                </c:pt>
                <c:pt idx="4">
                  <c:v>2030</c:v>
                </c:pt>
                <c:pt idx="5">
                  <c:v>2031</c:v>
                </c:pt>
                <c:pt idx="6">
                  <c:v>2032</c:v>
                </c:pt>
              </c:strCache>
            </c:strRef>
          </c:cat>
          <c:val>
            <c:numRef>
              <c:f>Tables!$E$30:$E$36</c:f>
              <c:numCache>
                <c:formatCode>General</c:formatCode>
                <c:ptCount val="7"/>
                <c:pt idx="0">
                  <c:v>286.25792740863062</c:v>
                </c:pt>
                <c:pt idx="1">
                  <c:v>293.56840615833681</c:v>
                </c:pt>
                <c:pt idx="2">
                  <c:v>613.57064022192276</c:v>
                </c:pt>
                <c:pt idx="3">
                  <c:v>827.33187662445823</c:v>
                </c:pt>
                <c:pt idx="4">
                  <c:v>696.66466476300354</c:v>
                </c:pt>
                <c:pt idx="5">
                  <c:v>779.05776704785626</c:v>
                </c:pt>
                <c:pt idx="6">
                  <c:v>533.79499097492806</c:v>
                </c:pt>
              </c:numCache>
            </c:numRef>
          </c:val>
          <c:extLst>
            <c:ext xmlns:c16="http://schemas.microsoft.com/office/drawing/2014/chart" uri="{C3380CC4-5D6E-409C-BE32-E72D297353CC}">
              <c16:uniqueId val="{00000002-51A0-4ACB-9BE2-F30BBCF4DFA3}"/>
            </c:ext>
          </c:extLst>
        </c:ser>
        <c:dLbls>
          <c:showLegendKey val="0"/>
          <c:showVal val="0"/>
          <c:showCatName val="0"/>
          <c:showSerName val="0"/>
          <c:showPercent val="0"/>
          <c:showBubbleSize val="0"/>
        </c:dLbls>
        <c:gapWidth val="100"/>
        <c:overlap val="100"/>
        <c:axId val="89365216"/>
        <c:axId val="89366656"/>
      </c:barChart>
      <c:lineChart>
        <c:grouping val="standard"/>
        <c:varyColors val="0"/>
        <c:ser>
          <c:idx val="0"/>
          <c:order val="0"/>
          <c:tx>
            <c:strRef>
              <c:f>Tables!$B$29</c:f>
              <c:strCache>
                <c:ptCount val="1"/>
                <c:pt idx="0">
                  <c:v>To         lower income pop. (all of ETS2)</c:v>
                </c:pt>
              </c:strCache>
            </c:strRef>
          </c:tx>
          <c:spPr>
            <a:ln w="28575" cap="rnd">
              <a:noFill/>
              <a:round/>
            </a:ln>
            <a:effectLst/>
          </c:spPr>
          <c:marker>
            <c:symbol val="circle"/>
            <c:size val="9"/>
            <c:spPr>
              <a:solidFill>
                <a:schemeClr val="accent3"/>
              </a:solidFill>
              <a:ln w="9525">
                <a:solidFill>
                  <a:schemeClr val="accent4"/>
                </a:solidFill>
              </a:ln>
              <a:effectLst/>
            </c:spPr>
          </c:marker>
          <c:cat>
            <c:strRef>
              <c:f>Tables!$A$30:$A$36</c:f>
              <c:strCache>
                <c:ptCount val="7"/>
                <c:pt idx="0">
                  <c:v>2026</c:v>
                </c:pt>
                <c:pt idx="1">
                  <c:v>2027</c:v>
                </c:pt>
                <c:pt idx="2">
                  <c:v>2028</c:v>
                </c:pt>
                <c:pt idx="3">
                  <c:v>2029</c:v>
                </c:pt>
                <c:pt idx="4">
                  <c:v>2030</c:v>
                </c:pt>
                <c:pt idx="5">
                  <c:v>2031</c:v>
                </c:pt>
                <c:pt idx="6">
                  <c:v>2032</c:v>
                </c:pt>
              </c:strCache>
            </c:strRef>
          </c:cat>
          <c:val>
            <c:numRef>
              <c:f>Tables!$B$30:$B$36</c:f>
              <c:numCache>
                <c:formatCode>General</c:formatCode>
                <c:ptCount val="7"/>
                <c:pt idx="0">
                  <c:v>105.36482188113871</c:v>
                </c:pt>
                <c:pt idx="1">
                  <c:v>114.66197555370184</c:v>
                </c:pt>
                <c:pt idx="2">
                  <c:v>227.71300229721425</c:v>
                </c:pt>
                <c:pt idx="3">
                  <c:v>303.29630426329851</c:v>
                </c:pt>
                <c:pt idx="4">
                  <c:v>256.78083431966303</c:v>
                </c:pt>
                <c:pt idx="5">
                  <c:v>285.69737445826979</c:v>
                </c:pt>
                <c:pt idx="6">
                  <c:v>198.36378172835217</c:v>
                </c:pt>
              </c:numCache>
            </c:numRef>
          </c:val>
          <c:smooth val="0"/>
          <c:extLst>
            <c:ext xmlns:c16="http://schemas.microsoft.com/office/drawing/2014/chart" uri="{C3380CC4-5D6E-409C-BE32-E72D297353CC}">
              <c16:uniqueId val="{00000000-F99E-4AAF-88DC-24CC7F679813}"/>
            </c:ext>
          </c:extLst>
        </c:ser>
        <c:ser>
          <c:idx val="2"/>
          <c:order val="2"/>
          <c:tx>
            <c:strRef>
              <c:f>Tables!$D$29</c:f>
              <c:strCache>
                <c:ptCount val="1"/>
                <c:pt idx="0">
                  <c:v>To         lower income pop. (SCF only)</c:v>
                </c:pt>
              </c:strCache>
            </c:strRef>
          </c:tx>
          <c:spPr>
            <a:ln w="28575" cap="rnd">
              <a:noFill/>
              <a:round/>
            </a:ln>
            <a:effectLst/>
          </c:spPr>
          <c:marker>
            <c:symbol val="circle"/>
            <c:size val="6"/>
            <c:spPr>
              <a:solidFill>
                <a:schemeClr val="accent5">
                  <a:lumMod val="20000"/>
                  <a:lumOff val="80000"/>
                </a:schemeClr>
              </a:solidFill>
              <a:ln w="6350">
                <a:solidFill>
                  <a:schemeClr val="accent3"/>
                </a:solidFill>
              </a:ln>
              <a:effectLst/>
            </c:spPr>
          </c:marker>
          <c:cat>
            <c:strRef>
              <c:f>Tables!$A$30:$A$36</c:f>
              <c:strCache>
                <c:ptCount val="7"/>
                <c:pt idx="0">
                  <c:v>2026</c:v>
                </c:pt>
                <c:pt idx="1">
                  <c:v>2027</c:v>
                </c:pt>
                <c:pt idx="2">
                  <c:v>2028</c:v>
                </c:pt>
                <c:pt idx="3">
                  <c:v>2029</c:v>
                </c:pt>
                <c:pt idx="4">
                  <c:v>2030</c:v>
                </c:pt>
                <c:pt idx="5">
                  <c:v>2031</c:v>
                </c:pt>
                <c:pt idx="6">
                  <c:v>2032</c:v>
                </c:pt>
              </c:strCache>
            </c:strRef>
          </c:cat>
          <c:val>
            <c:numRef>
              <c:f>Tables!$D$30:$D$36</c:f>
              <c:numCache>
                <c:formatCode>General</c:formatCode>
                <c:ptCount val="7"/>
                <c:pt idx="0">
                  <c:v>3.8873116400960912</c:v>
                </c:pt>
                <c:pt idx="1">
                  <c:v>10.592924219261848</c:v>
                </c:pt>
                <c:pt idx="2">
                  <c:v>10.20419305525224</c:v>
                </c:pt>
                <c:pt idx="3">
                  <c:v>10.009827473247435</c:v>
                </c:pt>
                <c:pt idx="4">
                  <c:v>9.8154618912426308</c:v>
                </c:pt>
                <c:pt idx="5">
                  <c:v>9.5239135182354229</c:v>
                </c:pt>
                <c:pt idx="6">
                  <c:v>9.1351823542258135</c:v>
                </c:pt>
              </c:numCache>
            </c:numRef>
          </c:val>
          <c:smooth val="0"/>
          <c:extLst>
            <c:ext xmlns:c16="http://schemas.microsoft.com/office/drawing/2014/chart" uri="{C3380CC4-5D6E-409C-BE32-E72D297353CC}">
              <c16:uniqueId val="{00000001-51A0-4ACB-9BE2-F30BBCF4DFA3}"/>
            </c:ext>
          </c:extLst>
        </c:ser>
        <c:ser>
          <c:idx val="4"/>
          <c:order val="4"/>
          <c:tx>
            <c:strRef>
              <c:f>Tables!$F$29</c:f>
              <c:strCache>
                <c:ptCount val="1"/>
                <c:pt idx="0">
                  <c:v>Income support selected</c:v>
                </c:pt>
              </c:strCache>
            </c:strRef>
          </c:tx>
          <c:spPr>
            <a:ln w="19050" cap="rnd">
              <a:solidFill>
                <a:schemeClr val="tx1"/>
              </a:solidFill>
              <a:prstDash val="sysDot"/>
              <a:round/>
            </a:ln>
            <a:effectLst/>
          </c:spPr>
          <c:marker>
            <c:symbol val="x"/>
            <c:size val="6"/>
            <c:spPr>
              <a:noFill/>
              <a:ln w="15875">
                <a:solidFill>
                  <a:schemeClr val="tx1"/>
                </a:solidFill>
              </a:ln>
              <a:effectLst/>
            </c:spPr>
          </c:marker>
          <c:cat>
            <c:strRef>
              <c:f>Tables!$A$30:$A$36</c:f>
              <c:strCache>
                <c:ptCount val="7"/>
                <c:pt idx="0">
                  <c:v>2026</c:v>
                </c:pt>
                <c:pt idx="1">
                  <c:v>2027</c:v>
                </c:pt>
                <c:pt idx="2">
                  <c:v>2028</c:v>
                </c:pt>
                <c:pt idx="3">
                  <c:v>2029</c:v>
                </c:pt>
                <c:pt idx="4">
                  <c:v>2030</c:v>
                </c:pt>
                <c:pt idx="5">
                  <c:v>2031</c:v>
                </c:pt>
                <c:pt idx="6">
                  <c:v>2032</c:v>
                </c:pt>
              </c:strCache>
            </c:strRef>
          </c:cat>
          <c:val>
            <c:numRef>
              <c:f>Tables!$F$30:$F$36</c:f>
              <c:numCache>
                <c:formatCode>General</c:formatCode>
                <c:ptCount val="7"/>
                <c:pt idx="0">
                  <c:v>0</c:v>
                </c:pt>
                <c:pt idx="1">
                  <c:v>0</c:v>
                </c:pt>
                <c:pt idx="2">
                  <c:v>70</c:v>
                </c:pt>
                <c:pt idx="3">
                  <c:v>75.752727272727256</c:v>
                </c:pt>
                <c:pt idx="4">
                  <c:v>93.672727272727272</c:v>
                </c:pt>
                <c:pt idx="5">
                  <c:v>105.28</c:v>
                </c:pt>
                <c:pt idx="6">
                  <c:v>84.458181818181799</c:v>
                </c:pt>
              </c:numCache>
            </c:numRef>
          </c:val>
          <c:smooth val="0"/>
          <c:extLst>
            <c:ext xmlns:c16="http://schemas.microsoft.com/office/drawing/2014/chart" uri="{C3380CC4-5D6E-409C-BE32-E72D297353CC}">
              <c16:uniqueId val="{00000000-53B9-4618-A123-3A566B2BF370}"/>
            </c:ext>
          </c:extLst>
        </c:ser>
        <c:dLbls>
          <c:showLegendKey val="0"/>
          <c:showVal val="0"/>
          <c:showCatName val="0"/>
          <c:showSerName val="0"/>
          <c:showPercent val="0"/>
          <c:showBubbleSize val="0"/>
        </c:dLbls>
        <c:marker val="1"/>
        <c:smooth val="0"/>
        <c:axId val="89365216"/>
        <c:axId val="89366656"/>
      </c:lineChart>
      <c:catAx>
        <c:axId val="89365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1">
                    <a:lumMod val="50000"/>
                  </a:schemeClr>
                </a:solidFill>
                <a:latin typeface="+mn-lt"/>
                <a:ea typeface="+mn-ea"/>
                <a:cs typeface="+mn-cs"/>
              </a:defRPr>
            </a:pPr>
            <a:endParaRPr lang="de-DE"/>
          </a:p>
        </c:txPr>
        <c:crossAx val="89366656"/>
        <c:crosses val="autoZero"/>
        <c:auto val="1"/>
        <c:lblAlgn val="ctr"/>
        <c:lblOffset val="100"/>
        <c:noMultiLvlLbl val="0"/>
      </c:catAx>
      <c:valAx>
        <c:axId val="893666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ysClr val="windowText" lastClr="000000"/>
                    </a:solidFill>
                    <a:latin typeface="+mn-lt"/>
                    <a:ea typeface="+mn-ea"/>
                    <a:cs typeface="+mn-cs"/>
                  </a:defRPr>
                </a:pPr>
                <a:r>
                  <a:rPr lang="de-DE" sz="900">
                    <a:solidFill>
                      <a:schemeClr val="bg1">
                        <a:lumMod val="50000"/>
                      </a:schemeClr>
                    </a:solidFill>
                  </a:rPr>
                  <a:t>[EUR per capita]</a:t>
                </a:r>
              </a:p>
            </c:rich>
          </c:tx>
          <c:layout>
            <c:manualLayout>
              <c:xMode val="edge"/>
              <c:yMode val="edge"/>
              <c:x val="3.3333333333385913E-6"/>
              <c:y val="8.4653788974653948E-2"/>
            </c:manualLayout>
          </c:layout>
          <c:overlay val="0"/>
          <c:spPr>
            <a:noFill/>
            <a:ln>
              <a:noFill/>
            </a:ln>
            <a:effectLst/>
          </c:spPr>
          <c:txPr>
            <a:bodyPr rot="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lumMod val="50000"/>
                  </a:schemeClr>
                </a:solidFill>
                <a:latin typeface="+mn-lt"/>
                <a:ea typeface="+mn-ea"/>
                <a:cs typeface="+mn-cs"/>
              </a:defRPr>
            </a:pPr>
            <a:endParaRPr lang="de-DE"/>
          </a:p>
        </c:txPr>
        <c:crossAx val="89365216"/>
        <c:crosses val="autoZero"/>
        <c:crossBetween val="between"/>
      </c:valAx>
      <c:spPr>
        <a:noFill/>
        <a:ln>
          <a:noFill/>
        </a:ln>
        <a:effectLst/>
      </c:spPr>
    </c:plotArea>
    <c:legend>
      <c:legendPos val="r"/>
      <c:layout>
        <c:manualLayout>
          <c:xMode val="edge"/>
          <c:yMode val="edge"/>
          <c:x val="0"/>
          <c:y val="0.80498717812083487"/>
          <c:w val="0.90265555555555554"/>
          <c:h val="0.18167300750091869"/>
        </c:manualLayout>
      </c:layout>
      <c:overlay val="0"/>
      <c:spPr>
        <a:noFill/>
        <a:ln>
          <a:noFill/>
        </a:ln>
        <a:effectLst/>
      </c:spPr>
      <c:txPr>
        <a:bodyPr rot="0" spcFirstLastPara="1" vertOverflow="ellipsis" vert="horz" wrap="square" anchor="ctr" anchorCtr="1"/>
        <a:lstStyle/>
        <a:p>
          <a:pPr>
            <a:defRPr lang="en-US" sz="900" b="0" i="0" u="none" strike="noStrike" kern="1200" baseline="0">
              <a:solidFill>
                <a:schemeClr val="bg1">
                  <a:lumMod val="50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solidFill>
            <a:sysClr val="windowText" lastClr="000000"/>
          </a:solidFill>
        </a:defRPr>
      </a:pPr>
      <a:endParaRPr lang="de-DE"/>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[ETS2_revenue_simulation_tool_v1.xlsx]Tables!Revenue split</c:name>
    <c:fmtId val="12"/>
  </c:pivotSource>
  <c:chart>
    <c:title>
      <c:tx>
        <c:rich>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r>
              <a:rPr lang="en-US" sz="1100" b="1" i="0" u="none" strike="noStrike" kern="1200" spc="0" baseline="0">
                <a:solidFill>
                  <a:sysClr val="windowText" lastClr="000000"/>
                </a:solidFill>
              </a:rPr>
              <a:t>SCF and ETS2 revenues </a:t>
            </a:r>
          </a:p>
        </c:rich>
      </c:tx>
      <c:layout>
        <c:manualLayout>
          <c:xMode val="edge"/>
          <c:yMode val="edge"/>
          <c:x val="0.37359291060711641"/>
          <c:y val="2.6666666666666668E-2"/>
        </c:manualLayout>
      </c:layout>
      <c:overlay val="0"/>
      <c:spPr>
        <a:noFill/>
        <a:ln>
          <a:noFill/>
        </a:ln>
        <a:effectLst/>
      </c:spPr>
    </c:title>
    <c:autoTitleDeleted val="0"/>
    <c:pivotFmts>
      <c:pivotFmt>
        <c:idx val="0"/>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1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13"/>
        <c:spPr>
          <a:solidFill>
            <a:schemeClr val="accent3"/>
          </a:solidFill>
          <a:ln>
            <a:noFill/>
          </a:ln>
          <a:effectLst/>
        </c:spPr>
        <c:marker>
          <c:symbol val="none"/>
        </c:marker>
        <c:dLbl>
          <c:idx val="0"/>
          <c:delete val="1"/>
          <c:extLst>
            <c:ext xmlns:c15="http://schemas.microsoft.com/office/drawing/2012/chart" uri="{CE6537A1-D6FC-4f65-9D91-7224C49458BB}"/>
          </c:extLst>
        </c:dLbl>
      </c:pivotFmt>
      <c:pivotFmt>
        <c:idx val="14"/>
        <c:spPr>
          <a:solidFill>
            <a:schemeClr val="accent1"/>
          </a:solidFill>
          <a:ln w="28575" cap="rnd">
            <a:noFill/>
            <a:round/>
          </a:ln>
          <a:effectLst/>
        </c:spPr>
        <c:marker>
          <c:symbol val="diamond"/>
          <c:size val="6"/>
          <c:spPr>
            <a:noFill/>
            <a:ln w="9525">
              <a:solidFill>
                <a:schemeClr val="accent1">
                  <a:lumMod val="20000"/>
                  <a:lumOff val="80000"/>
                </a:schemeClr>
              </a:solidFill>
            </a:ln>
            <a:effectLst/>
          </c:spPr>
        </c:marker>
        <c:dLbl>
          <c:idx val="0"/>
          <c:delete val="1"/>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1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18"/>
        <c:spPr>
          <a:solidFill>
            <a:schemeClr val="accent3"/>
          </a:solidFill>
          <a:ln>
            <a:noFill/>
          </a:ln>
          <a:effectLst/>
        </c:spPr>
        <c:marker>
          <c:symbol val="none"/>
        </c:marker>
        <c:dLbl>
          <c:idx val="0"/>
          <c:delete val="1"/>
          <c:extLst>
            <c:ext xmlns:c15="http://schemas.microsoft.com/office/drawing/2012/chart" uri="{CE6537A1-D6FC-4f65-9D91-7224C49458BB}"/>
          </c:extLst>
        </c:dLbl>
      </c:pivotFmt>
      <c:pivotFmt>
        <c:idx val="19"/>
        <c:spPr>
          <a:solidFill>
            <a:schemeClr val="accent1"/>
          </a:solidFill>
          <a:ln w="28575" cap="rnd">
            <a:noFill/>
            <a:round/>
          </a:ln>
          <a:effectLst/>
        </c:spPr>
        <c:marker>
          <c:symbol val="diamond"/>
          <c:size val="6"/>
          <c:spPr>
            <a:noFill/>
            <a:ln w="9525">
              <a:solidFill>
                <a:schemeClr val="accent1">
                  <a:lumMod val="20000"/>
                  <a:lumOff val="80000"/>
                </a:schemeClr>
              </a:solidFill>
            </a:ln>
            <a:effectLst/>
          </c:spPr>
        </c:marker>
        <c:dLbl>
          <c:idx val="0"/>
          <c:delete val="1"/>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3"/>
          </a:solidFill>
          <a:ln>
            <a:noFill/>
          </a:ln>
          <a:effectLst/>
        </c:spPr>
        <c:marker>
          <c:symbol val="none"/>
        </c:marker>
        <c:dLbl>
          <c:idx val="0"/>
          <c:delete val="1"/>
          <c:extLst>
            <c:ext xmlns:c15="http://schemas.microsoft.com/office/drawing/2012/chart" uri="{CE6537A1-D6FC-4f65-9D91-7224C49458BB}"/>
          </c:extLst>
        </c:dLbl>
      </c:pivotFmt>
      <c:pivotFmt>
        <c:idx val="24"/>
        <c:spPr>
          <a:ln w="28575" cap="rnd">
            <a:noFill/>
            <a:round/>
          </a:ln>
          <a:effectLst/>
        </c:spPr>
        <c:marker>
          <c:symbol val="diamond"/>
          <c:size val="6"/>
          <c:spPr>
            <a:noFill/>
            <a:ln w="9525">
              <a:solidFill>
                <a:schemeClr val="accent1">
                  <a:lumMod val="20000"/>
                  <a:lumOff val="80000"/>
                </a:schemeClr>
              </a:solidFill>
            </a:ln>
            <a:effectLst/>
          </c:spPr>
        </c:marker>
        <c:dLbl>
          <c:idx val="0"/>
          <c:delete val="1"/>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2"/>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3">
              <a:lumMod val="75000"/>
            </a:schemeClr>
          </a:solidFill>
          <a:ln>
            <a:noFill/>
          </a:ln>
          <a:effectLst/>
        </c:spPr>
        <c:marker>
          <c:symbol val="none"/>
        </c:marker>
        <c:dLbl>
          <c:idx val="0"/>
          <c:delete val="1"/>
          <c:extLst>
            <c:ext xmlns:c15="http://schemas.microsoft.com/office/drawing/2012/chart" uri="{CE6537A1-D6FC-4f65-9D91-7224C49458BB}"/>
          </c:extLst>
        </c:dLbl>
      </c:pivotFmt>
      <c:pivotFmt>
        <c:idx val="28"/>
        <c:spPr>
          <a:pattFill prst="dkUpDiag">
            <a:fgClr>
              <a:schemeClr val="accent3"/>
            </a:fgClr>
            <a:bgClr>
              <a:schemeClr val="bg1"/>
            </a:bgClr>
          </a:pattFill>
          <a:ln>
            <a:noFill/>
          </a:ln>
          <a:effectLst/>
        </c:spPr>
        <c:marker>
          <c:symbol val="none"/>
        </c:marker>
        <c:dLbl>
          <c:idx val="0"/>
          <c:delete val="1"/>
          <c:extLst>
            <c:ext xmlns:c15="http://schemas.microsoft.com/office/drawing/2012/chart" uri="{CE6537A1-D6FC-4f65-9D91-7224C49458BB}"/>
          </c:extLst>
        </c:dLbl>
      </c:pivotFmt>
      <c:pivotFmt>
        <c:idx val="29"/>
        <c:spPr>
          <a:ln>
            <a:noFill/>
          </a:ln>
          <a:effectLst/>
        </c:spPr>
        <c:marker>
          <c:symbol val="circle"/>
          <c:size val="6"/>
          <c:spPr>
            <a:noFill/>
            <a:ln w="12700">
              <a:solidFill>
                <a:schemeClr val="accent2">
                  <a:lumMod val="20000"/>
                  <a:lumOff val="80000"/>
                </a:schemeClr>
              </a:solidFill>
            </a:ln>
            <a:effectLst/>
          </c:spPr>
        </c:marker>
        <c:dLbl>
          <c:idx val="0"/>
          <c:delete val="1"/>
          <c:extLst>
            <c:ext xmlns:c15="http://schemas.microsoft.com/office/drawing/2012/chart" uri="{CE6537A1-D6FC-4f65-9D91-7224C49458BB}"/>
          </c:extLst>
        </c:dLbl>
      </c:pivotFmt>
      <c:pivotFmt>
        <c:idx val="30"/>
        <c:spPr>
          <a:ln>
            <a:noFill/>
          </a:ln>
        </c:spPr>
        <c:marker>
          <c:symbol val="dash"/>
          <c:size val="6"/>
          <c:spPr>
            <a:ln w="15875">
              <a:solidFill>
                <a:schemeClr val="tx1"/>
              </a:solidFill>
            </a:ln>
          </c:spPr>
        </c:marker>
        <c:dLbl>
          <c:idx val="0"/>
          <c:delete val="1"/>
          <c:extLst>
            <c:ext xmlns:c15="http://schemas.microsoft.com/office/drawing/2012/chart" uri="{CE6537A1-D6FC-4f65-9D91-7224C49458BB}"/>
          </c:extLst>
        </c:dLbl>
      </c:pivotFmt>
    </c:pivotFmts>
    <c:plotArea>
      <c:layout>
        <c:manualLayout>
          <c:layoutTarget val="inner"/>
          <c:xMode val="edge"/>
          <c:yMode val="edge"/>
          <c:x val="0.11173809523809522"/>
          <c:y val="0.25091386284004163"/>
          <c:w val="0.84677777777777774"/>
          <c:h val="0.6782021968016253"/>
        </c:manualLayout>
      </c:layout>
      <c:barChart>
        <c:barDir val="col"/>
        <c:grouping val="stacked"/>
        <c:varyColors val="0"/>
        <c:ser>
          <c:idx val="0"/>
          <c:order val="0"/>
          <c:tx>
            <c:strRef>
              <c:f>Tables!$B$3</c:f>
              <c:strCache>
                <c:ptCount val="1"/>
                <c:pt idx="0">
                  <c:v>SCF</c:v>
                </c:pt>
              </c:strCache>
            </c:strRef>
          </c:tx>
          <c:spPr>
            <a:solidFill>
              <a:schemeClr val="accent1"/>
            </a:solidFill>
            <a:ln>
              <a:noFill/>
            </a:ln>
            <a:effectLst/>
          </c:spPr>
          <c:invertIfNegative val="0"/>
          <c:cat>
            <c:strRef>
              <c:f>Tables!$A$4:$A$10</c:f>
              <c:strCache>
                <c:ptCount val="7"/>
                <c:pt idx="0">
                  <c:v>2026</c:v>
                </c:pt>
                <c:pt idx="1">
                  <c:v>2027</c:v>
                </c:pt>
                <c:pt idx="2">
                  <c:v>2028</c:v>
                </c:pt>
                <c:pt idx="3">
                  <c:v>2029</c:v>
                </c:pt>
                <c:pt idx="4">
                  <c:v>2030</c:v>
                </c:pt>
                <c:pt idx="5">
                  <c:v>2031</c:v>
                </c:pt>
                <c:pt idx="6">
                  <c:v>2032</c:v>
                </c:pt>
              </c:strCache>
            </c:strRef>
          </c:cat>
          <c:val>
            <c:numRef>
              <c:f>Tables!$B$4:$B$10</c:f>
              <c:numCache>
                <c:formatCode>General</c:formatCode>
                <c:ptCount val="7"/>
                <c:pt idx="0">
                  <c:v>35.6</c:v>
                </c:pt>
                <c:pt idx="1">
                  <c:v>97.01</c:v>
                </c:pt>
                <c:pt idx="2">
                  <c:v>93.45</c:v>
                </c:pt>
                <c:pt idx="3">
                  <c:v>91.67</c:v>
                </c:pt>
                <c:pt idx="4">
                  <c:v>89.89</c:v>
                </c:pt>
                <c:pt idx="5">
                  <c:v>87.22</c:v>
                </c:pt>
                <c:pt idx="6">
                  <c:v>83.66</c:v>
                </c:pt>
              </c:numCache>
            </c:numRef>
          </c:val>
          <c:extLst>
            <c:ext xmlns:c16="http://schemas.microsoft.com/office/drawing/2014/chart" uri="{C3380CC4-5D6E-409C-BE32-E72D297353CC}">
              <c16:uniqueId val="{00000001-E602-4D10-84E7-B2CE5AD9BBB5}"/>
            </c:ext>
          </c:extLst>
        </c:ser>
        <c:ser>
          <c:idx val="1"/>
          <c:order val="1"/>
          <c:tx>
            <c:strRef>
              <c:f>Tables!$C$3</c:f>
              <c:strCache>
                <c:ptCount val="1"/>
                <c:pt idx="0">
                  <c:v>Own contribution</c:v>
                </c:pt>
              </c:strCache>
            </c:strRef>
          </c:tx>
          <c:spPr>
            <a:solidFill>
              <a:schemeClr val="accent2"/>
            </a:solidFill>
            <a:ln>
              <a:noFill/>
            </a:ln>
            <a:effectLst/>
          </c:spPr>
          <c:invertIfNegative val="0"/>
          <c:cat>
            <c:strRef>
              <c:f>Tables!$A$4:$A$10</c:f>
              <c:strCache>
                <c:ptCount val="7"/>
                <c:pt idx="0">
                  <c:v>2026</c:v>
                </c:pt>
                <c:pt idx="1">
                  <c:v>2027</c:v>
                </c:pt>
                <c:pt idx="2">
                  <c:v>2028</c:v>
                </c:pt>
                <c:pt idx="3">
                  <c:v>2029</c:v>
                </c:pt>
                <c:pt idx="4">
                  <c:v>2030</c:v>
                </c:pt>
                <c:pt idx="5">
                  <c:v>2031</c:v>
                </c:pt>
                <c:pt idx="6">
                  <c:v>2032</c:v>
                </c:pt>
              </c:strCache>
            </c:strRef>
          </c:cat>
          <c:val>
            <c:numRef>
              <c:f>Tables!$C$4:$C$10</c:f>
              <c:numCache>
                <c:formatCode>General</c:formatCode>
                <c:ptCount val="7"/>
                <c:pt idx="0">
                  <c:v>11.866666666666667</c:v>
                </c:pt>
                <c:pt idx="1">
                  <c:v>32.336666666666659</c:v>
                </c:pt>
                <c:pt idx="2">
                  <c:v>31.150000000000006</c:v>
                </c:pt>
                <c:pt idx="3">
                  <c:v>30.556666666666672</c:v>
                </c:pt>
                <c:pt idx="4">
                  <c:v>29.963333333333338</c:v>
                </c:pt>
                <c:pt idx="5">
                  <c:v>29.073333333333338</c:v>
                </c:pt>
                <c:pt idx="6">
                  <c:v>27.88666666666667</c:v>
                </c:pt>
              </c:numCache>
            </c:numRef>
          </c:val>
          <c:extLst>
            <c:ext xmlns:c16="http://schemas.microsoft.com/office/drawing/2014/chart" uri="{C3380CC4-5D6E-409C-BE32-E72D297353CC}">
              <c16:uniqueId val="{00000003-E602-4D10-84E7-B2CE5AD9BBB5}"/>
            </c:ext>
          </c:extLst>
        </c:ser>
        <c:ser>
          <c:idx val="2"/>
          <c:order val="2"/>
          <c:tx>
            <c:strRef>
              <c:f>Tables!$D$3</c:f>
              <c:strCache>
                <c:ptCount val="1"/>
                <c:pt idx="0">
                  <c:v>Rest of ETS2 revenues</c:v>
                </c:pt>
              </c:strCache>
            </c:strRef>
          </c:tx>
          <c:spPr>
            <a:solidFill>
              <a:schemeClr val="accent3">
                <a:lumMod val="75000"/>
              </a:schemeClr>
            </a:solidFill>
            <a:ln>
              <a:noFill/>
            </a:ln>
            <a:effectLst/>
          </c:spPr>
          <c:invertIfNegative val="0"/>
          <c:cat>
            <c:strRef>
              <c:f>Tables!$A$4:$A$10</c:f>
              <c:strCache>
                <c:ptCount val="7"/>
                <c:pt idx="0">
                  <c:v>2026</c:v>
                </c:pt>
                <c:pt idx="1">
                  <c:v>2027</c:v>
                </c:pt>
                <c:pt idx="2">
                  <c:v>2028</c:v>
                </c:pt>
                <c:pt idx="3">
                  <c:v>2029</c:v>
                </c:pt>
                <c:pt idx="4">
                  <c:v>2030</c:v>
                </c:pt>
                <c:pt idx="5">
                  <c:v>2031</c:v>
                </c:pt>
                <c:pt idx="6">
                  <c:v>2032</c:v>
                </c:pt>
              </c:strCache>
            </c:strRef>
          </c:cat>
          <c:val>
            <c:numRef>
              <c:f>Tables!$D$4:$D$10</c:f>
              <c:numCache>
                <c:formatCode>General</c:formatCode>
                <c:ptCount val="7"/>
                <c:pt idx="1">
                  <c:v>272.73882513802789</c:v>
                </c:pt>
                <c:pt idx="2">
                  <c:v>995.97283751894395</c:v>
                </c:pt>
                <c:pt idx="3">
                  <c:v>1342.9587772216437</c:v>
                </c:pt>
                <c:pt idx="4">
                  <c:v>1313.4338219820745</c:v>
                </c:pt>
                <c:pt idx="5">
                  <c:v>1447.1776592767546</c:v>
                </c:pt>
                <c:pt idx="6">
                  <c:v>1049.057138166462</c:v>
                </c:pt>
              </c:numCache>
            </c:numRef>
          </c:val>
          <c:extLst>
            <c:ext xmlns:c16="http://schemas.microsoft.com/office/drawing/2014/chart" uri="{C3380CC4-5D6E-409C-BE32-E72D297353CC}">
              <c16:uniqueId val="{00000005-E602-4D10-84E7-B2CE5AD9BBB5}"/>
            </c:ext>
          </c:extLst>
        </c:ser>
        <c:ser>
          <c:idx val="3"/>
          <c:order val="3"/>
          <c:tx>
            <c:strRef>
              <c:f>Tables!$E$3</c:f>
              <c:strCache>
                <c:ptCount val="1"/>
                <c:pt idx="0">
                  <c:v>Optional frontloading</c:v>
                </c:pt>
              </c:strCache>
            </c:strRef>
          </c:tx>
          <c:spPr>
            <a:pattFill prst="dkUpDiag">
              <a:fgClr>
                <a:schemeClr val="accent3"/>
              </a:fgClr>
              <a:bgClr>
                <a:schemeClr val="bg1"/>
              </a:bgClr>
            </a:pattFill>
            <a:ln>
              <a:noFill/>
            </a:ln>
            <a:effectLst/>
          </c:spPr>
          <c:invertIfNegative val="0"/>
          <c:cat>
            <c:strRef>
              <c:f>Tables!$A$4:$A$10</c:f>
              <c:strCache>
                <c:ptCount val="7"/>
                <c:pt idx="0">
                  <c:v>2026</c:v>
                </c:pt>
                <c:pt idx="1">
                  <c:v>2027</c:v>
                </c:pt>
                <c:pt idx="2">
                  <c:v>2028</c:v>
                </c:pt>
                <c:pt idx="3">
                  <c:v>2029</c:v>
                </c:pt>
                <c:pt idx="4">
                  <c:v>2030</c:v>
                </c:pt>
                <c:pt idx="5">
                  <c:v>2031</c:v>
                </c:pt>
                <c:pt idx="6">
                  <c:v>2032</c:v>
                </c:pt>
              </c:strCache>
            </c:strRef>
          </c:cat>
          <c:val>
            <c:numRef>
              <c:f>Tables!$E$4:$E$10</c:f>
              <c:numCache>
                <c:formatCode>General</c:formatCode>
                <c:ptCount val="7"/>
                <c:pt idx="0">
                  <c:v>464.66551939373409</c:v>
                </c:pt>
                <c:pt idx="1">
                  <c:v>203.79336092237287</c:v>
                </c:pt>
                <c:pt idx="4">
                  <c:v>-182.57938163233746</c:v>
                </c:pt>
                <c:pt idx="5">
                  <c:v>-182.57938163233746</c:v>
                </c:pt>
                <c:pt idx="6">
                  <c:v>-182.57938163233746</c:v>
                </c:pt>
              </c:numCache>
            </c:numRef>
          </c:val>
          <c:extLst>
            <c:ext xmlns:c16="http://schemas.microsoft.com/office/drawing/2014/chart" uri="{C3380CC4-5D6E-409C-BE32-E72D297353CC}">
              <c16:uniqueId val="{00000007-E602-4D10-84E7-B2CE5AD9BBB5}"/>
            </c:ext>
          </c:extLst>
        </c:ser>
        <c:dLbls>
          <c:showLegendKey val="0"/>
          <c:showVal val="0"/>
          <c:showCatName val="0"/>
          <c:showSerName val="0"/>
          <c:showPercent val="0"/>
          <c:showBubbleSize val="0"/>
        </c:dLbls>
        <c:gapWidth val="100"/>
        <c:overlap val="100"/>
        <c:axId val="1598186767"/>
        <c:axId val="1598194447"/>
      </c:barChart>
      <c:lineChart>
        <c:grouping val="standard"/>
        <c:varyColors val="0"/>
        <c:ser>
          <c:idx val="4"/>
          <c:order val="4"/>
          <c:tx>
            <c:strRef>
              <c:f>Tables!$F$3</c:f>
              <c:strCache>
                <c:ptCount val="1"/>
                <c:pt idx="0">
                  <c:v>Total revenue</c:v>
                </c:pt>
              </c:strCache>
            </c:strRef>
          </c:tx>
          <c:spPr>
            <a:ln>
              <a:noFill/>
            </a:ln>
          </c:spPr>
          <c:marker>
            <c:symbol val="dash"/>
            <c:size val="6"/>
            <c:spPr>
              <a:ln w="15875">
                <a:solidFill>
                  <a:schemeClr val="tx1"/>
                </a:solidFill>
              </a:ln>
            </c:spPr>
          </c:marker>
          <c:cat>
            <c:strRef>
              <c:f>Tables!$A$4:$A$10</c:f>
              <c:strCache>
                <c:ptCount val="7"/>
                <c:pt idx="0">
                  <c:v>2026</c:v>
                </c:pt>
                <c:pt idx="1">
                  <c:v>2027</c:v>
                </c:pt>
                <c:pt idx="2">
                  <c:v>2028</c:v>
                </c:pt>
                <c:pt idx="3">
                  <c:v>2029</c:v>
                </c:pt>
                <c:pt idx="4">
                  <c:v>2030</c:v>
                </c:pt>
                <c:pt idx="5">
                  <c:v>2031</c:v>
                </c:pt>
                <c:pt idx="6">
                  <c:v>2032</c:v>
                </c:pt>
              </c:strCache>
            </c:strRef>
          </c:cat>
          <c:val>
            <c:numRef>
              <c:f>Tables!$F$4:$F$10</c:f>
              <c:numCache>
                <c:formatCode>General</c:formatCode>
                <c:ptCount val="7"/>
                <c:pt idx="0">
                  <c:v>512.13218606040073</c:v>
                </c:pt>
                <c:pt idx="1">
                  <c:v>605.8788527270674</c:v>
                </c:pt>
                <c:pt idx="2">
                  <c:v>1120.572837518944</c:v>
                </c:pt>
                <c:pt idx="3">
                  <c:v>1465.1854438883104</c:v>
                </c:pt>
                <c:pt idx="4">
                  <c:v>1250.7077736830702</c:v>
                </c:pt>
                <c:pt idx="5">
                  <c:v>1380.8916109777506</c:v>
                </c:pt>
                <c:pt idx="6">
                  <c:v>978.02442320079115</c:v>
                </c:pt>
              </c:numCache>
            </c:numRef>
          </c:val>
          <c:smooth val="0"/>
          <c:extLst>
            <c:ext xmlns:c16="http://schemas.microsoft.com/office/drawing/2014/chart" uri="{C3380CC4-5D6E-409C-BE32-E72D297353CC}">
              <c16:uniqueId val="{00000009-E602-4D10-84E7-B2CE5AD9BBB5}"/>
            </c:ext>
          </c:extLst>
        </c:ser>
        <c:ser>
          <c:idx val="5"/>
          <c:order val="5"/>
          <c:tx>
            <c:strRef>
              <c:f>Tables!$G$3</c:f>
              <c:strCache>
                <c:ptCount val="1"/>
                <c:pt idx="0">
                  <c:v>Max. Direct income support from SCF</c:v>
                </c:pt>
              </c:strCache>
            </c:strRef>
          </c:tx>
          <c:spPr>
            <a:ln>
              <a:noFill/>
            </a:ln>
            <a:effectLst/>
          </c:spPr>
          <c:marker>
            <c:symbol val="circle"/>
            <c:size val="6"/>
            <c:spPr>
              <a:noFill/>
              <a:ln w="12700">
                <a:solidFill>
                  <a:schemeClr val="accent2">
                    <a:lumMod val="20000"/>
                    <a:lumOff val="80000"/>
                  </a:schemeClr>
                </a:solidFill>
              </a:ln>
              <a:effectLst/>
            </c:spPr>
          </c:marker>
          <c:cat>
            <c:strRef>
              <c:f>Tables!$A$4:$A$10</c:f>
              <c:strCache>
                <c:ptCount val="7"/>
                <c:pt idx="0">
                  <c:v>2026</c:v>
                </c:pt>
                <c:pt idx="1">
                  <c:v>2027</c:v>
                </c:pt>
                <c:pt idx="2">
                  <c:v>2028</c:v>
                </c:pt>
                <c:pt idx="3">
                  <c:v>2029</c:v>
                </c:pt>
                <c:pt idx="4">
                  <c:v>2030</c:v>
                </c:pt>
                <c:pt idx="5">
                  <c:v>2031</c:v>
                </c:pt>
                <c:pt idx="6">
                  <c:v>2032</c:v>
                </c:pt>
              </c:strCache>
            </c:strRef>
          </c:cat>
          <c:val>
            <c:numRef>
              <c:f>Tables!$G$4:$G$10</c:f>
              <c:numCache>
                <c:formatCode>General</c:formatCode>
                <c:ptCount val="7"/>
                <c:pt idx="0">
                  <c:v>17.8</c:v>
                </c:pt>
                <c:pt idx="1">
                  <c:v>48.504999999999995</c:v>
                </c:pt>
                <c:pt idx="2">
                  <c:v>46.725000000000001</c:v>
                </c:pt>
                <c:pt idx="3">
                  <c:v>45.835000000000001</c:v>
                </c:pt>
                <c:pt idx="4">
                  <c:v>44.945</c:v>
                </c:pt>
                <c:pt idx="5">
                  <c:v>43.61</c:v>
                </c:pt>
                <c:pt idx="6">
                  <c:v>41.83</c:v>
                </c:pt>
              </c:numCache>
            </c:numRef>
          </c:val>
          <c:smooth val="0"/>
          <c:extLst>
            <c:ext xmlns:c16="http://schemas.microsoft.com/office/drawing/2014/chart" uri="{C3380CC4-5D6E-409C-BE32-E72D297353CC}">
              <c16:uniqueId val="{00000003-7D5D-4032-AF81-DAFF303695F5}"/>
            </c:ext>
          </c:extLst>
        </c:ser>
        <c:dLbls>
          <c:showLegendKey val="0"/>
          <c:showVal val="0"/>
          <c:showCatName val="0"/>
          <c:showSerName val="0"/>
          <c:showPercent val="0"/>
          <c:showBubbleSize val="0"/>
        </c:dLbls>
        <c:marker val="1"/>
        <c:smooth val="0"/>
        <c:axId val="1598186767"/>
        <c:axId val="1598194447"/>
      </c:lineChart>
      <c:catAx>
        <c:axId val="1598186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1">
                    <a:lumMod val="50000"/>
                  </a:schemeClr>
                </a:solidFill>
                <a:latin typeface="+mn-lt"/>
                <a:ea typeface="+mn-ea"/>
                <a:cs typeface="+mn-cs"/>
              </a:defRPr>
            </a:pPr>
            <a:endParaRPr lang="de-DE"/>
          </a:p>
        </c:txPr>
        <c:crossAx val="1598194447"/>
        <c:crosses val="autoZero"/>
        <c:auto val="1"/>
        <c:lblAlgn val="ctr"/>
        <c:lblOffset val="100"/>
        <c:noMultiLvlLbl val="0"/>
      </c:catAx>
      <c:valAx>
        <c:axId val="159819444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de-DE" sz="900">
                    <a:solidFill>
                      <a:schemeClr val="bg1">
                        <a:lumMod val="50000"/>
                      </a:schemeClr>
                    </a:solidFill>
                  </a:rPr>
                  <a:t>[EUR million</a:t>
                </a:r>
                <a:r>
                  <a:rPr lang="de-DE" sz="900" baseline="0">
                    <a:solidFill>
                      <a:schemeClr val="bg1">
                        <a:lumMod val="50000"/>
                      </a:schemeClr>
                    </a:solidFill>
                  </a:rPr>
                  <a:t>s]</a:t>
                </a:r>
                <a:endParaRPr lang="de-DE" sz="900">
                  <a:solidFill>
                    <a:schemeClr val="bg1">
                      <a:lumMod val="50000"/>
                    </a:schemeClr>
                  </a:solidFill>
                </a:endParaRPr>
              </a:p>
            </c:rich>
          </c:tx>
          <c:layout>
            <c:manualLayout>
              <c:xMode val="edge"/>
              <c:yMode val="edge"/>
              <c:x val="2.2997222222222277E-3"/>
              <c:y val="6.1728349673202614E-2"/>
            </c:manualLayout>
          </c:layout>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lumMod val="50000"/>
                  </a:schemeClr>
                </a:solidFill>
                <a:latin typeface="+mn-lt"/>
                <a:ea typeface="+mn-ea"/>
                <a:cs typeface="+mn-cs"/>
              </a:defRPr>
            </a:pPr>
            <a:endParaRPr lang="de-DE"/>
          </a:p>
        </c:txPr>
        <c:crossAx val="1598186767"/>
        <c:crosses val="autoZero"/>
        <c:crossBetween val="between"/>
      </c:valAx>
    </c:plotArea>
    <c:plotVisOnly val="1"/>
    <c:dispBlanksAs val="gap"/>
    <c:showDLblsOverMax val="0"/>
    <c:extLst/>
  </c:chart>
  <c:spPr>
    <a:solidFill>
      <a:schemeClr val="bg1"/>
    </a:solidFill>
    <a:ln>
      <a:noFill/>
    </a:ln>
    <a:effectLst/>
  </c:spPr>
  <c:txPr>
    <a:bodyPr/>
    <a:lstStyle/>
    <a:p>
      <a:pPr>
        <a:defRPr>
          <a:solidFill>
            <a:sysClr val="windowText" lastClr="000000"/>
          </a:solidFill>
        </a:defRPr>
      </a:pPr>
      <a:endParaRPr lang="de-DE"/>
    </a:p>
  </c:tx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[ETS2_revenue_simulation_tool_v1.xlsx]Tables!PivotTable4</c:name>
    <c:fmtId val="4"/>
  </c:pivotSource>
  <c:chart>
    <c:title>
      <c:tx>
        <c:rich>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r>
              <a:rPr lang="de-DE" sz="1100" b="1"/>
              <a:t>Use of revenues</a:t>
            </a:r>
          </a:p>
        </c:rich>
      </c:tx>
      <c:overlay val="0"/>
      <c:spPr>
        <a:noFill/>
        <a:ln>
          <a:noFill/>
        </a:ln>
        <a:effectLst/>
      </c:spPr>
    </c:title>
    <c:autoTitleDeleted val="0"/>
    <c:pivotFmts>
      <c:pivotFmt>
        <c:idx val="0"/>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6"/>
        <c:spPr>
          <a:solidFill>
            <a:schemeClr val="accent1"/>
          </a:solidFill>
          <a:ln>
            <a:noFill/>
          </a:ln>
          <a:effectLst/>
        </c:spPr>
        <c:marker>
          <c:symbol val="dash"/>
          <c:size val="19"/>
          <c:spPr>
            <a:solidFill>
              <a:schemeClr val="accent1"/>
            </a:solidFill>
            <a:ln w="9525">
              <a:solidFill>
                <a:schemeClr val="accent1"/>
              </a:solidFill>
            </a:ln>
            <a:effectLst/>
          </c:spPr>
        </c:marker>
        <c:dLbl>
          <c:idx val="0"/>
          <c:delete val="1"/>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8"/>
        <c:spPr>
          <a:solidFill>
            <a:schemeClr val="accent1">
              <a:lumMod val="60000"/>
              <a:lumOff val="40000"/>
            </a:schemeClr>
          </a:solidFill>
          <a:ln>
            <a:noFill/>
          </a:ln>
          <a:effectLst/>
        </c:spPr>
        <c:marker>
          <c:symbol val="none"/>
        </c:marker>
        <c:dLbl>
          <c:idx val="0"/>
          <c:delete val="1"/>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10"/>
        <c:spPr>
          <a:solidFill>
            <a:schemeClr val="accent1"/>
          </a:solidFill>
          <a:ln>
            <a:noFill/>
          </a:ln>
          <a:effectLst/>
        </c:spPr>
        <c:marker>
          <c:symbol val="x"/>
          <c:size val="10"/>
          <c:spPr>
            <a:noFill/>
            <a:ln w="28575">
              <a:solidFill>
                <a:schemeClr val="accent5"/>
              </a:solidFill>
            </a:ln>
            <a:effectLst/>
          </c:spPr>
        </c:marker>
        <c:dLbl>
          <c:idx val="0"/>
          <c:delete val="1"/>
          <c:extLst>
            <c:ext xmlns:c15="http://schemas.microsoft.com/office/drawing/2012/chart" uri="{CE6537A1-D6FC-4f65-9D91-7224C49458BB}"/>
          </c:extLst>
        </c:dLbl>
      </c:pivotFmt>
      <c:pivotFmt>
        <c:idx val="11"/>
        <c:spPr>
          <a:solidFill>
            <a:schemeClr val="accent1"/>
          </a:solidFill>
          <a:ln w="28575" cap="rnd">
            <a:noFill/>
            <a:round/>
          </a:ln>
          <a:effectLst/>
        </c:spPr>
        <c:marker>
          <c:symbol val="circle"/>
          <c:size val="8"/>
          <c:spPr>
            <a:solidFill>
              <a:schemeClr val="accent3"/>
            </a:solidFill>
            <a:ln w="28575" cap="rnd">
              <a:noFill/>
              <a:prstDash val="solid"/>
              <a:round/>
              <a:headEnd type="none"/>
            </a:ln>
            <a:effectLst/>
          </c:spPr>
        </c:marker>
        <c:dLbl>
          <c:idx val="0"/>
          <c:delete val="1"/>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14"/>
        <c:spPr>
          <a:solidFill>
            <a:schemeClr val="accent2"/>
          </a:solidFill>
          <a:ln>
            <a:noFill/>
          </a:ln>
          <a:effectLst/>
        </c:spPr>
        <c:marker>
          <c:symbol val="none"/>
        </c:marker>
        <c:dLbl>
          <c:idx val="0"/>
          <c:delete val="1"/>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16"/>
        <c:spPr>
          <a:solidFill>
            <a:schemeClr val="accent1"/>
          </a:solidFill>
          <a:ln w="28575" cap="rnd">
            <a:noFill/>
            <a:round/>
          </a:ln>
          <a:effectLst/>
        </c:spPr>
        <c:marker>
          <c:symbol val="circle"/>
          <c:size val="8"/>
          <c:spPr>
            <a:solidFill>
              <a:schemeClr val="accent4"/>
            </a:solidFill>
            <a:ln w="28575">
              <a:noFill/>
            </a:ln>
            <a:effectLst/>
          </c:spPr>
        </c:marker>
        <c:dLbl>
          <c:idx val="0"/>
          <c:delete val="1"/>
          <c:extLst>
            <c:ext xmlns:c15="http://schemas.microsoft.com/office/drawing/2012/chart" uri="{CE6537A1-D6FC-4f65-9D91-7224C49458BB}"/>
          </c:extLst>
        </c:dLbl>
      </c:pivotFmt>
      <c:pivotFmt>
        <c:idx val="17"/>
        <c:spPr>
          <a:solidFill>
            <a:schemeClr val="accent1"/>
          </a:solidFill>
          <a:ln w="28575" cap="rnd">
            <a:noFill/>
            <a:round/>
          </a:ln>
          <a:effectLst/>
        </c:spPr>
        <c:marker>
          <c:symbol val="circle"/>
          <c:size val="8"/>
          <c:spPr>
            <a:solidFill>
              <a:schemeClr val="accent4"/>
            </a:solidFill>
            <a:ln w="28575">
              <a:noFill/>
            </a:ln>
            <a:effectLst/>
          </c:spPr>
        </c:marker>
      </c:pivotFmt>
      <c:pivotFmt>
        <c:idx val="18"/>
        <c:spPr>
          <a:solidFill>
            <a:schemeClr val="accent1">
              <a:lumMod val="60000"/>
              <a:lumOff val="40000"/>
            </a:schemeClr>
          </a:solidFill>
          <a:ln>
            <a:noFill/>
          </a:ln>
          <a:effectLst/>
        </c:spPr>
        <c:marker>
          <c:symbol val="none"/>
        </c:marker>
        <c:dLbl>
          <c:idx val="0"/>
          <c:delete val="1"/>
          <c:extLst>
            <c:ext xmlns:c15="http://schemas.microsoft.com/office/drawing/2012/chart" uri="{CE6537A1-D6FC-4f65-9D91-7224C49458BB}"/>
          </c:extLst>
        </c:dLbl>
      </c:pivotFmt>
      <c:pivotFmt>
        <c:idx val="19"/>
        <c:spPr>
          <a:solidFill>
            <a:schemeClr val="accent2"/>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1"/>
          </a:solidFill>
          <a:ln w="28575" cap="rnd">
            <a:noFill/>
            <a:round/>
          </a:ln>
          <a:effectLst/>
        </c:spPr>
        <c:marker>
          <c:symbol val="circle"/>
          <c:size val="8"/>
          <c:spPr>
            <a:solidFill>
              <a:schemeClr val="accent3"/>
            </a:solidFill>
            <a:ln w="28575" cap="rnd">
              <a:noFill/>
              <a:prstDash val="solid"/>
              <a:round/>
              <a:headEnd type="none"/>
            </a:ln>
            <a:effectLst/>
          </c:spPr>
        </c:marker>
        <c:dLbl>
          <c:idx val="0"/>
          <c:delete val="1"/>
          <c:extLst>
            <c:ext xmlns:c15="http://schemas.microsoft.com/office/drawing/2012/chart" uri="{CE6537A1-D6FC-4f65-9D91-7224C49458BB}"/>
          </c:extLst>
        </c:dLbl>
      </c:pivotFmt>
      <c:pivotFmt>
        <c:idx val="22"/>
        <c:spPr>
          <a:solidFill>
            <a:schemeClr val="accent1"/>
          </a:solidFill>
          <a:ln w="28575" cap="rnd">
            <a:noFill/>
            <a:round/>
          </a:ln>
          <a:effectLst/>
        </c:spPr>
        <c:marker>
          <c:symbol val="circle"/>
          <c:size val="8"/>
          <c:spPr>
            <a:solidFill>
              <a:schemeClr val="accent4"/>
            </a:solidFill>
            <a:ln w="28575">
              <a:noFill/>
            </a:ln>
            <a:effectLst/>
          </c:spPr>
        </c:marker>
        <c:dLbl>
          <c:idx val="0"/>
          <c:delete val="1"/>
          <c:extLst>
            <c:ext xmlns:c15="http://schemas.microsoft.com/office/drawing/2012/chart" uri="{CE6537A1-D6FC-4f65-9D91-7224C49458BB}"/>
          </c:extLst>
        </c:dLbl>
      </c:pivotFmt>
      <c:pivotFmt>
        <c:idx val="23"/>
        <c:spPr>
          <a:solidFill>
            <a:schemeClr val="accent1">
              <a:lumMod val="60000"/>
              <a:lumOff val="40000"/>
            </a:schemeClr>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2"/>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26"/>
        <c:spPr>
          <a:ln w="28575" cap="rnd">
            <a:noFill/>
            <a:round/>
          </a:ln>
          <a:effectLst/>
        </c:spPr>
        <c:marker>
          <c:symbol val="circle"/>
          <c:size val="8"/>
          <c:spPr>
            <a:solidFill>
              <a:schemeClr val="accent3"/>
            </a:solidFill>
            <a:ln w="28575" cap="rnd">
              <a:noFill/>
              <a:prstDash val="solid"/>
              <a:round/>
              <a:headEnd type="none"/>
            </a:ln>
            <a:effectLst/>
          </c:spPr>
        </c:marker>
        <c:dLbl>
          <c:idx val="0"/>
          <c:delete val="1"/>
          <c:extLst>
            <c:ext xmlns:c15="http://schemas.microsoft.com/office/drawing/2012/chart" uri="{CE6537A1-D6FC-4f65-9D91-7224C49458BB}"/>
          </c:extLst>
        </c:dLbl>
      </c:pivotFmt>
      <c:pivotFmt>
        <c:idx val="27"/>
        <c:spPr>
          <a:ln w="28575" cap="rnd">
            <a:noFill/>
            <a:round/>
          </a:ln>
          <a:effectLst/>
        </c:spPr>
        <c:marker>
          <c:symbol val="circle"/>
          <c:size val="8"/>
          <c:spPr>
            <a:solidFill>
              <a:schemeClr val="accent4"/>
            </a:solidFill>
            <a:ln w="28575">
              <a:noFill/>
            </a:ln>
            <a:effectLst/>
          </c:spPr>
        </c:marker>
        <c:dLbl>
          <c:idx val="0"/>
          <c:delete val="1"/>
          <c:extLst>
            <c:ext xmlns:c15="http://schemas.microsoft.com/office/drawing/2012/chart" uri="{CE6537A1-D6FC-4f65-9D91-7224C49458BB}"/>
          </c:extLst>
        </c:dLbl>
      </c:pivotFmt>
      <c:pivotFmt>
        <c:idx val="28"/>
        <c:spPr>
          <a:solidFill>
            <a:schemeClr val="accent1">
              <a:lumMod val="60000"/>
              <a:lumOff val="40000"/>
            </a:schemeClr>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2"/>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31"/>
        <c:spPr>
          <a:ln w="28575" cap="rnd">
            <a:noFill/>
            <a:round/>
          </a:ln>
          <a:effectLst/>
        </c:spPr>
        <c:marker>
          <c:symbol val="circle"/>
          <c:size val="6"/>
          <c:spPr>
            <a:solidFill>
              <a:schemeClr val="accent5">
                <a:lumMod val="20000"/>
                <a:lumOff val="80000"/>
              </a:schemeClr>
            </a:solidFill>
            <a:ln w="6350" cap="rnd">
              <a:solidFill>
                <a:schemeClr val="accent3"/>
              </a:solidFill>
              <a:prstDash val="solid"/>
              <a:round/>
              <a:headEnd type="none"/>
            </a:ln>
            <a:effectLst/>
          </c:spPr>
        </c:marker>
        <c:dLbl>
          <c:idx val="0"/>
          <c:delete val="1"/>
          <c:extLst>
            <c:ext xmlns:c15="http://schemas.microsoft.com/office/drawing/2012/chart" uri="{CE6537A1-D6FC-4f65-9D91-7224C49458BB}"/>
          </c:extLst>
        </c:dLbl>
      </c:pivotFmt>
      <c:pivotFmt>
        <c:idx val="32"/>
        <c:spPr>
          <a:ln w="28575" cap="rnd">
            <a:noFill/>
            <a:round/>
          </a:ln>
          <a:effectLst/>
        </c:spPr>
        <c:marker>
          <c:symbol val="circle"/>
          <c:size val="9"/>
          <c:spPr>
            <a:solidFill>
              <a:schemeClr val="accent3"/>
            </a:solidFill>
            <a:ln w="6350">
              <a:solidFill>
                <a:schemeClr val="accent4"/>
              </a:solidFill>
            </a:ln>
            <a:effectLst/>
          </c:spPr>
        </c:marker>
        <c:dLbl>
          <c:idx val="0"/>
          <c:delete val="1"/>
          <c:extLst>
            <c:ext xmlns:c15="http://schemas.microsoft.com/office/drawing/2012/chart" uri="{CE6537A1-D6FC-4f65-9D91-7224C49458BB}"/>
          </c:extLst>
        </c:dLbl>
      </c:pivotFmt>
    </c:pivotFmts>
    <c:plotArea>
      <c:layout>
        <c:manualLayout>
          <c:layoutTarget val="inner"/>
          <c:xMode val="edge"/>
          <c:yMode val="edge"/>
          <c:x val="0.12885099878181097"/>
          <c:y val="0.20550413464119435"/>
          <c:w val="0.80486455971533921"/>
          <c:h val="0.48900832878126832"/>
        </c:manualLayout>
      </c:layout>
      <c:barChart>
        <c:barDir val="col"/>
        <c:grouping val="stacked"/>
        <c:varyColors val="0"/>
        <c:ser>
          <c:idx val="2"/>
          <c:order val="2"/>
          <c:tx>
            <c:strRef>
              <c:f>Tables!$D$53</c:f>
              <c:strCache>
                <c:ptCount val="1"/>
                <c:pt idx="0">
                  <c:v>Social leasing EV</c:v>
                </c:pt>
              </c:strCache>
            </c:strRef>
          </c:tx>
          <c:spPr>
            <a:solidFill>
              <a:schemeClr val="accent1">
                <a:lumMod val="60000"/>
                <a:lumOff val="40000"/>
              </a:schemeClr>
            </a:solidFill>
            <a:ln>
              <a:noFill/>
            </a:ln>
            <a:effectLst/>
          </c:spPr>
          <c:invertIfNegative val="0"/>
          <c:cat>
            <c:strRef>
              <c:f>Tables!$A$54:$A$60</c:f>
              <c:strCache>
                <c:ptCount val="7"/>
                <c:pt idx="0">
                  <c:v>2026</c:v>
                </c:pt>
                <c:pt idx="1">
                  <c:v>2027</c:v>
                </c:pt>
                <c:pt idx="2">
                  <c:v>2028</c:v>
                </c:pt>
                <c:pt idx="3">
                  <c:v>2029</c:v>
                </c:pt>
                <c:pt idx="4">
                  <c:v>2030</c:v>
                </c:pt>
                <c:pt idx="5">
                  <c:v>2031</c:v>
                </c:pt>
                <c:pt idx="6">
                  <c:v>2032</c:v>
                </c:pt>
              </c:strCache>
            </c:strRef>
          </c:cat>
          <c:val>
            <c:numRef>
              <c:f>Tables!$D$54:$D$60</c:f>
              <c:numCache>
                <c:formatCode>General</c:formatCode>
                <c:ptCount val="7"/>
                <c:pt idx="0">
                  <c:v>247.26599999999999</c:v>
                </c:pt>
                <c:pt idx="1">
                  <c:v>357.16199999999998</c:v>
                </c:pt>
                <c:pt idx="2">
                  <c:v>412.10999999999996</c:v>
                </c:pt>
                <c:pt idx="3">
                  <c:v>412.10999999999996</c:v>
                </c:pt>
                <c:pt idx="4">
                  <c:v>412.10999999999996</c:v>
                </c:pt>
                <c:pt idx="5">
                  <c:v>412.10999999999996</c:v>
                </c:pt>
                <c:pt idx="6">
                  <c:v>412.10999999999996</c:v>
                </c:pt>
              </c:numCache>
            </c:numRef>
          </c:val>
          <c:extLst>
            <c:ext xmlns:c16="http://schemas.microsoft.com/office/drawing/2014/chart" uri="{C3380CC4-5D6E-409C-BE32-E72D297353CC}">
              <c16:uniqueId val="{00000001-173C-46BB-8460-980C4721DE8D}"/>
            </c:ext>
          </c:extLst>
        </c:ser>
        <c:ser>
          <c:idx val="3"/>
          <c:order val="3"/>
          <c:tx>
            <c:strRef>
              <c:f>Tables!$E$53</c:f>
              <c:strCache>
                <c:ptCount val="1"/>
                <c:pt idx="0">
                  <c:v>Social financing HP</c:v>
                </c:pt>
              </c:strCache>
            </c:strRef>
          </c:tx>
          <c:spPr>
            <a:solidFill>
              <a:schemeClr val="accent2"/>
            </a:solidFill>
            <a:ln>
              <a:noFill/>
            </a:ln>
            <a:effectLst/>
          </c:spPr>
          <c:invertIfNegative val="0"/>
          <c:cat>
            <c:strRef>
              <c:f>Tables!$A$54:$A$60</c:f>
              <c:strCache>
                <c:ptCount val="7"/>
                <c:pt idx="0">
                  <c:v>2026</c:v>
                </c:pt>
                <c:pt idx="1">
                  <c:v>2027</c:v>
                </c:pt>
                <c:pt idx="2">
                  <c:v>2028</c:v>
                </c:pt>
                <c:pt idx="3">
                  <c:v>2029</c:v>
                </c:pt>
                <c:pt idx="4">
                  <c:v>2030</c:v>
                </c:pt>
                <c:pt idx="5">
                  <c:v>2031</c:v>
                </c:pt>
                <c:pt idx="6">
                  <c:v>2032</c:v>
                </c:pt>
              </c:strCache>
            </c:strRef>
          </c:cat>
          <c:val>
            <c:numRef>
              <c:f>Tables!$E$54:$E$60</c:f>
              <c:numCache>
                <c:formatCode>General</c:formatCode>
                <c:ptCount val="7"/>
                <c:pt idx="0">
                  <c:v>90.677030320379416</c:v>
                </c:pt>
                <c:pt idx="1">
                  <c:v>86.232211705886115</c:v>
                </c:pt>
                <c:pt idx="2">
                  <c:v>82.22128613715482</c:v>
                </c:pt>
                <c:pt idx="3">
                  <c:v>79.785173825913432</c:v>
                </c:pt>
                <c:pt idx="4">
                  <c:v>78.865337923096959</c:v>
                </c:pt>
                <c:pt idx="5">
                  <c:v>77.88384813224026</c:v>
                </c:pt>
                <c:pt idx="6">
                  <c:v>76.901267989792728</c:v>
                </c:pt>
              </c:numCache>
            </c:numRef>
          </c:val>
          <c:extLst>
            <c:ext xmlns:c16="http://schemas.microsoft.com/office/drawing/2014/chart" uri="{C3380CC4-5D6E-409C-BE32-E72D297353CC}">
              <c16:uniqueId val="{00000003-173C-46BB-8460-980C4721DE8D}"/>
            </c:ext>
          </c:extLst>
        </c:ser>
        <c:ser>
          <c:idx val="4"/>
          <c:order val="4"/>
          <c:tx>
            <c:strRef>
              <c:f>Tables!$F$53</c:f>
              <c:strCache>
                <c:ptCount val="1"/>
                <c:pt idx="0">
                  <c:v>Income support</c:v>
                </c:pt>
              </c:strCache>
            </c:strRef>
          </c:tx>
          <c:spPr>
            <a:solidFill>
              <a:schemeClr val="accent1"/>
            </a:solidFill>
            <a:ln>
              <a:noFill/>
            </a:ln>
            <a:effectLst/>
          </c:spPr>
          <c:invertIfNegative val="0"/>
          <c:cat>
            <c:strRef>
              <c:f>Tables!$A$54:$A$60</c:f>
              <c:strCache>
                <c:ptCount val="7"/>
                <c:pt idx="0">
                  <c:v>2026</c:v>
                </c:pt>
                <c:pt idx="1">
                  <c:v>2027</c:v>
                </c:pt>
                <c:pt idx="2">
                  <c:v>2028</c:v>
                </c:pt>
                <c:pt idx="3">
                  <c:v>2029</c:v>
                </c:pt>
                <c:pt idx="4">
                  <c:v>2030</c:v>
                </c:pt>
                <c:pt idx="5">
                  <c:v>2031</c:v>
                </c:pt>
                <c:pt idx="6">
                  <c:v>2032</c:v>
                </c:pt>
              </c:strCache>
            </c:strRef>
          </c:cat>
          <c:val>
            <c:numRef>
              <c:f>Tables!$F$54:$F$60</c:f>
              <c:numCache>
                <c:formatCode>General</c:formatCode>
                <c:ptCount val="7"/>
                <c:pt idx="1">
                  <c:v>0</c:v>
                </c:pt>
                <c:pt idx="2">
                  <c:v>320.52999999999997</c:v>
                </c:pt>
                <c:pt idx="3">
                  <c:v>346.8717381818181</c:v>
                </c:pt>
                <c:pt idx="4">
                  <c:v>428.92741818181815</c:v>
                </c:pt>
                <c:pt idx="5">
                  <c:v>482.07711999999998</c:v>
                </c:pt>
                <c:pt idx="6">
                  <c:v>386.73401454545444</c:v>
                </c:pt>
              </c:numCache>
            </c:numRef>
          </c:val>
          <c:extLst>
            <c:ext xmlns:c16="http://schemas.microsoft.com/office/drawing/2014/chart" uri="{C3380CC4-5D6E-409C-BE32-E72D297353CC}">
              <c16:uniqueId val="{00000005-173C-46BB-8460-980C4721DE8D}"/>
            </c:ext>
          </c:extLst>
        </c:ser>
        <c:dLbls>
          <c:showLegendKey val="0"/>
          <c:showVal val="0"/>
          <c:showCatName val="0"/>
          <c:showSerName val="0"/>
          <c:showPercent val="0"/>
          <c:showBubbleSize val="0"/>
        </c:dLbls>
        <c:gapWidth val="100"/>
        <c:overlap val="100"/>
        <c:axId val="1870720351"/>
        <c:axId val="1870721311"/>
      </c:barChart>
      <c:lineChart>
        <c:grouping val="standard"/>
        <c:varyColors val="0"/>
        <c:ser>
          <c:idx val="0"/>
          <c:order val="0"/>
          <c:tx>
            <c:strRef>
              <c:f>Tables!$B$53</c:f>
              <c:strCache>
                <c:ptCount val="1"/>
                <c:pt idx="0">
                  <c:v>All ETS2 revenue</c:v>
                </c:pt>
              </c:strCache>
            </c:strRef>
          </c:tx>
          <c:spPr>
            <a:ln w="28575" cap="rnd">
              <a:noFill/>
              <a:round/>
            </a:ln>
            <a:effectLst/>
          </c:spPr>
          <c:marker>
            <c:symbol val="circle"/>
            <c:size val="9"/>
            <c:spPr>
              <a:solidFill>
                <a:schemeClr val="accent3"/>
              </a:solidFill>
              <a:ln w="6350">
                <a:solidFill>
                  <a:schemeClr val="accent4"/>
                </a:solidFill>
              </a:ln>
              <a:effectLst/>
            </c:spPr>
          </c:marker>
          <c:cat>
            <c:strRef>
              <c:f>Tables!$A$54:$A$60</c:f>
              <c:strCache>
                <c:ptCount val="7"/>
                <c:pt idx="0">
                  <c:v>2026</c:v>
                </c:pt>
                <c:pt idx="1">
                  <c:v>2027</c:v>
                </c:pt>
                <c:pt idx="2">
                  <c:v>2028</c:v>
                </c:pt>
                <c:pt idx="3">
                  <c:v>2029</c:v>
                </c:pt>
                <c:pt idx="4">
                  <c:v>2030</c:v>
                </c:pt>
                <c:pt idx="5">
                  <c:v>2031</c:v>
                </c:pt>
                <c:pt idx="6">
                  <c:v>2032</c:v>
                </c:pt>
              </c:strCache>
            </c:strRef>
          </c:cat>
          <c:val>
            <c:numRef>
              <c:f>Tables!$B$54:$B$60</c:f>
              <c:numCache>
                <c:formatCode>General</c:formatCode>
                <c:ptCount val="7"/>
                <c:pt idx="0">
                  <c:v>512.13218606040073</c:v>
                </c:pt>
                <c:pt idx="1">
                  <c:v>605.8788527270674</c:v>
                </c:pt>
                <c:pt idx="2">
                  <c:v>1120.572837518944</c:v>
                </c:pt>
                <c:pt idx="3">
                  <c:v>1465.1854438883104</c:v>
                </c:pt>
                <c:pt idx="4">
                  <c:v>1250.7077736830702</c:v>
                </c:pt>
                <c:pt idx="5">
                  <c:v>1380.8916109777506</c:v>
                </c:pt>
                <c:pt idx="6">
                  <c:v>978.02442320079115</c:v>
                </c:pt>
              </c:numCache>
            </c:numRef>
          </c:val>
          <c:smooth val="0"/>
          <c:extLst>
            <c:ext xmlns:c16="http://schemas.microsoft.com/office/drawing/2014/chart" uri="{C3380CC4-5D6E-409C-BE32-E72D297353CC}">
              <c16:uniqueId val="{00000007-173C-46BB-8460-980C4721DE8D}"/>
            </c:ext>
          </c:extLst>
        </c:ser>
        <c:ser>
          <c:idx val="1"/>
          <c:order val="1"/>
          <c:tx>
            <c:strRef>
              <c:f>Tables!$C$53</c:f>
              <c:strCache>
                <c:ptCount val="1"/>
                <c:pt idx="0">
                  <c:v>SCF + own contribution</c:v>
                </c:pt>
              </c:strCache>
            </c:strRef>
          </c:tx>
          <c:spPr>
            <a:ln w="28575" cap="rnd">
              <a:noFill/>
              <a:round/>
            </a:ln>
            <a:effectLst/>
          </c:spPr>
          <c:marker>
            <c:symbol val="circle"/>
            <c:size val="6"/>
            <c:spPr>
              <a:solidFill>
                <a:schemeClr val="accent5">
                  <a:lumMod val="20000"/>
                  <a:lumOff val="80000"/>
                </a:schemeClr>
              </a:solidFill>
              <a:ln w="6350" cap="rnd">
                <a:solidFill>
                  <a:schemeClr val="accent3"/>
                </a:solidFill>
                <a:prstDash val="solid"/>
                <a:round/>
                <a:headEnd type="none"/>
              </a:ln>
              <a:effectLst/>
            </c:spPr>
          </c:marker>
          <c:cat>
            <c:strRef>
              <c:f>Tables!$A$54:$A$60</c:f>
              <c:strCache>
                <c:ptCount val="7"/>
                <c:pt idx="0">
                  <c:v>2026</c:v>
                </c:pt>
                <c:pt idx="1">
                  <c:v>2027</c:v>
                </c:pt>
                <c:pt idx="2">
                  <c:v>2028</c:v>
                </c:pt>
                <c:pt idx="3">
                  <c:v>2029</c:v>
                </c:pt>
                <c:pt idx="4">
                  <c:v>2030</c:v>
                </c:pt>
                <c:pt idx="5">
                  <c:v>2031</c:v>
                </c:pt>
                <c:pt idx="6">
                  <c:v>2032</c:v>
                </c:pt>
              </c:strCache>
            </c:strRef>
          </c:cat>
          <c:val>
            <c:numRef>
              <c:f>Tables!$C$54:$C$60</c:f>
              <c:numCache>
                <c:formatCode>General</c:formatCode>
                <c:ptCount val="7"/>
                <c:pt idx="0">
                  <c:v>47.466666666666669</c:v>
                </c:pt>
                <c:pt idx="1">
                  <c:v>129.34666666666666</c:v>
                </c:pt>
                <c:pt idx="2">
                  <c:v>124.60000000000001</c:v>
                </c:pt>
                <c:pt idx="3">
                  <c:v>122.22666666666667</c:v>
                </c:pt>
                <c:pt idx="4">
                  <c:v>119.85333333333334</c:v>
                </c:pt>
                <c:pt idx="5">
                  <c:v>116.29333333333334</c:v>
                </c:pt>
                <c:pt idx="6">
                  <c:v>111.54666666666667</c:v>
                </c:pt>
              </c:numCache>
            </c:numRef>
          </c:val>
          <c:smooth val="0"/>
          <c:extLst>
            <c:ext xmlns:c16="http://schemas.microsoft.com/office/drawing/2014/chart" uri="{C3380CC4-5D6E-409C-BE32-E72D297353CC}">
              <c16:uniqueId val="{00000009-173C-46BB-8460-980C4721DE8D}"/>
            </c:ext>
          </c:extLst>
        </c:ser>
        <c:dLbls>
          <c:showLegendKey val="0"/>
          <c:showVal val="0"/>
          <c:showCatName val="0"/>
          <c:showSerName val="0"/>
          <c:showPercent val="0"/>
          <c:showBubbleSize val="0"/>
        </c:dLbls>
        <c:marker val="1"/>
        <c:smooth val="0"/>
        <c:axId val="1870720351"/>
        <c:axId val="1870721311"/>
      </c:lineChart>
      <c:catAx>
        <c:axId val="18707203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1">
                    <a:lumMod val="50000"/>
                  </a:schemeClr>
                </a:solidFill>
                <a:latin typeface="+mn-lt"/>
                <a:ea typeface="+mn-ea"/>
                <a:cs typeface="+mn-cs"/>
              </a:defRPr>
            </a:pPr>
            <a:endParaRPr lang="de-DE"/>
          </a:p>
        </c:txPr>
        <c:crossAx val="1870721311"/>
        <c:crosses val="autoZero"/>
        <c:auto val="1"/>
        <c:lblAlgn val="ctr"/>
        <c:lblOffset val="100"/>
        <c:noMultiLvlLbl val="0"/>
      </c:catAx>
      <c:valAx>
        <c:axId val="187072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de-DE" sz="900" b="0" i="0" u="none" strike="noStrike" kern="1200" baseline="0">
                    <a:solidFill>
                      <a:schemeClr val="bg1">
                        <a:lumMod val="50000"/>
                      </a:schemeClr>
                    </a:solidFill>
                  </a:rPr>
                  <a:t>[EUR millions]</a:t>
                </a:r>
              </a:p>
            </c:rich>
          </c:tx>
          <c:layout>
            <c:manualLayout>
              <c:xMode val="edge"/>
              <c:yMode val="edge"/>
              <c:x val="2.078888888888891E-3"/>
              <c:y val="7.9381123792682889E-2"/>
            </c:manualLayout>
          </c:layout>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lumMod val="50000"/>
                  </a:schemeClr>
                </a:solidFill>
                <a:latin typeface="+mn-lt"/>
                <a:ea typeface="+mn-ea"/>
                <a:cs typeface="+mn-cs"/>
              </a:defRPr>
            </a:pPr>
            <a:endParaRPr lang="de-DE"/>
          </a:p>
        </c:txPr>
        <c:crossAx val="1870720351"/>
        <c:crosses val="autoZero"/>
        <c:crossBetween val="between"/>
      </c:valAx>
    </c:plotArea>
    <c:legend>
      <c:legendPos val="b"/>
      <c:legendEntry>
        <c:idx val="0"/>
        <c:txPr>
          <a:bodyPr/>
          <a:lstStyle/>
          <a:p>
            <a:pPr>
              <a:defRPr sz="900">
                <a:solidFill>
                  <a:schemeClr val="bg1">
                    <a:lumMod val="50000"/>
                  </a:schemeClr>
                </a:solidFill>
              </a:defRPr>
            </a:pPr>
            <a:endParaRPr lang="de-DE"/>
          </a:p>
        </c:txPr>
      </c:legendEntry>
      <c:legendEntry>
        <c:idx val="1"/>
        <c:txPr>
          <a:bodyPr/>
          <a:lstStyle/>
          <a:p>
            <a:pPr>
              <a:defRPr sz="900">
                <a:solidFill>
                  <a:schemeClr val="bg1">
                    <a:lumMod val="50000"/>
                  </a:schemeClr>
                </a:solidFill>
              </a:defRPr>
            </a:pPr>
            <a:endParaRPr lang="de-DE"/>
          </a:p>
        </c:txPr>
      </c:legendEntry>
      <c:legendEntry>
        <c:idx val="2"/>
        <c:txPr>
          <a:bodyPr/>
          <a:lstStyle/>
          <a:p>
            <a:pPr>
              <a:defRPr sz="900">
                <a:solidFill>
                  <a:schemeClr val="bg1">
                    <a:lumMod val="50000"/>
                  </a:schemeClr>
                </a:solidFill>
              </a:defRPr>
            </a:pPr>
            <a:endParaRPr lang="de-DE"/>
          </a:p>
        </c:txPr>
      </c:legendEntry>
      <c:legendEntry>
        <c:idx val="3"/>
        <c:txPr>
          <a:bodyPr/>
          <a:lstStyle/>
          <a:p>
            <a:pPr>
              <a:defRPr sz="900">
                <a:solidFill>
                  <a:schemeClr val="bg1">
                    <a:lumMod val="50000"/>
                  </a:schemeClr>
                </a:solidFill>
              </a:defRPr>
            </a:pPr>
            <a:endParaRPr lang="de-DE"/>
          </a:p>
        </c:txPr>
      </c:legendEntry>
      <c:legendEntry>
        <c:idx val="4"/>
        <c:txPr>
          <a:bodyPr/>
          <a:lstStyle/>
          <a:p>
            <a:pPr>
              <a:defRPr sz="900">
                <a:solidFill>
                  <a:schemeClr val="bg1">
                    <a:lumMod val="50000"/>
                  </a:schemeClr>
                </a:solidFill>
              </a:defRPr>
            </a:pPr>
            <a:endParaRPr lang="de-DE"/>
          </a:p>
        </c:txPr>
      </c:legendEntry>
      <c:layout>
        <c:manualLayout>
          <c:xMode val="edge"/>
          <c:yMode val="edge"/>
          <c:x val="8.5221944444444447E-2"/>
          <c:y val="0.80846903002746362"/>
          <c:w val="0.73042305555555553"/>
          <c:h val="0.19153096997253644"/>
        </c:manualLayout>
      </c:layout>
      <c:overlay val="0"/>
      <c:txPr>
        <a:bodyPr/>
        <a:lstStyle/>
        <a:p>
          <a:pPr>
            <a:defRPr>
              <a:solidFill>
                <a:schemeClr val="bg1">
                  <a:lumMod val="50000"/>
                </a:schemeClr>
              </a:solidFill>
            </a:defRPr>
          </a:pPr>
          <a:endParaRPr lang="de-DE"/>
        </a:p>
      </c:txPr>
    </c:legend>
    <c:plotVisOnly val="1"/>
    <c:dispBlanksAs val="gap"/>
    <c:showDLblsOverMax val="0"/>
    <c:extLst/>
  </c:chart>
  <c:spPr>
    <a:solidFill>
      <a:schemeClr val="bg1"/>
    </a:solidFill>
    <a:ln w="9525" cap="flat" cmpd="sng" algn="ctr">
      <a:noFill/>
      <a:round/>
    </a:ln>
    <a:effectLst/>
  </c:spPr>
  <c:txPr>
    <a:bodyPr/>
    <a:lstStyle/>
    <a:p>
      <a:pPr>
        <a:defRPr sz="1100">
          <a:solidFill>
            <a:sysClr val="windowText" lastClr="000000"/>
          </a:solidFill>
        </a:defRPr>
      </a:pPr>
      <a:endParaRPr lang="de-DE"/>
    </a:p>
  </c:tx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agora-energiewende.org/"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png"/><Relationship Id="rId1" Type="http://schemas.openxmlformats.org/officeDocument/2006/relationships/hyperlink" Target="https://www.agora-energiewende.org/" TargetMode="External"/></Relationships>
</file>

<file path=xl/drawings/_rels/drawing3.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chart" Target="../charts/chart3.xml"/><Relationship Id="rId7" Type="http://schemas.openxmlformats.org/officeDocument/2006/relationships/image" Target="../media/image3.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jpg"/><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oneCellAnchor>
    <xdr:from>
      <xdr:col>1</xdr:col>
      <xdr:colOff>152399</xdr:colOff>
      <xdr:row>5</xdr:row>
      <xdr:rowOff>58836</xdr:rowOff>
    </xdr:from>
    <xdr:ext cx="7077075" cy="2663358"/>
    <xdr:sp macro="" textlink="">
      <xdr:nvSpPr>
        <xdr:cNvPr id="2" name="Textfeld 1">
          <a:extLst>
            <a:ext uri="{FF2B5EF4-FFF2-40B4-BE49-F238E27FC236}">
              <a16:creationId xmlns:a16="http://schemas.microsoft.com/office/drawing/2014/main" id="{7C7588DB-EBFB-4836-8C63-88C9341574C1}"/>
            </a:ext>
          </a:extLst>
        </xdr:cNvPr>
        <xdr:cNvSpPr txBox="1"/>
      </xdr:nvSpPr>
      <xdr:spPr>
        <a:xfrm>
          <a:off x="333374" y="1258986"/>
          <a:ext cx="7077075" cy="2663358"/>
        </a:xfrm>
        <a:prstGeom prst="rect">
          <a:avLst/>
        </a:prstGeom>
        <a:solidFill>
          <a:schemeClr val="bg1"/>
        </a:solidFill>
      </xdr:spPr>
      <xdr:txBody>
        <a:bodyPr vertOverflow="clip" horzOverflow="clip" wrap="square" lIns="36000" tIns="0" rIns="0" bIns="0" rtlCol="0" anchor="t">
          <a:spAutoFit/>
        </a:bodyPr>
        <a:lstStyle/>
        <a:p>
          <a:pPr marL="0" indent="0">
            <a:lnSpc>
              <a:spcPct val="130000"/>
            </a:lnSpc>
          </a:pPr>
          <a:r>
            <a:rPr lang="de-DE" sz="1000" b="0" kern="1200">
              <a:solidFill>
                <a:schemeClr val="tx1"/>
              </a:solidFill>
              <a:effectLst/>
              <a:latin typeface="Arial" panose="020B0604020202020204" pitchFamily="34" charset="0"/>
              <a:ea typeface="+mn-ea"/>
              <a:cs typeface="Arial" panose="020B0604020202020204" pitchFamily="34" charset="0"/>
            </a:rPr>
            <a:t>From 2028, suppliers of fossil fuels for road transport, buildings and small industries in the European Union will be required to purchase and surrender allowances to cover their downstream emissions in the new emissions trading system (ETS2). The revenues will be split among the Member States (MS) to be used for climate action and social measures. </a:t>
          </a:r>
        </a:p>
        <a:p>
          <a:pPr marL="0" indent="0">
            <a:lnSpc>
              <a:spcPct val="130000"/>
            </a:lnSpc>
          </a:pPr>
          <a:r>
            <a:rPr lang="de-DE" sz="1000" b="0" kern="1200">
              <a:solidFill>
                <a:schemeClr val="tx1"/>
              </a:solidFill>
              <a:effectLst/>
              <a:latin typeface="Arial" panose="020B0604020202020204" pitchFamily="34" charset="0"/>
              <a:ea typeface="+mn-ea"/>
              <a:cs typeface="Arial" panose="020B0604020202020204" pitchFamily="34" charset="0"/>
            </a:rPr>
            <a:t>A share of these revenues will flow into the Social Climate Fund (SCF) from 2027 to 2032 and be split among countries according to a predefined solidarity principle with the aim to support vulnerable households and micro-enterprises. The SCF amounts will be released based on the national Social Climate Plans (SCP) submitted by MS to the EU Commission.</a:t>
          </a:r>
          <a:r>
            <a:rPr lang="de-DE" sz="1000">
              <a:latin typeface="Arial" panose="020B0604020202020204" pitchFamily="34" charset="0"/>
              <a:cs typeface="Arial" panose="020B0604020202020204" pitchFamily="34" charset="0"/>
            </a:rPr>
            <a:t> </a:t>
          </a:r>
        </a:p>
        <a:p>
          <a:pPr marL="0" marR="0" lvl="0" indent="0" defTabSz="914400" eaLnBrk="1" fontAlgn="auto" latinLnBrk="0" hangingPunct="1">
            <a:lnSpc>
              <a:spcPct val="130000"/>
            </a:lnSpc>
            <a:spcBef>
              <a:spcPts val="0"/>
            </a:spcBef>
            <a:spcAft>
              <a:spcPts val="0"/>
            </a:spcAft>
            <a:buClrTx/>
            <a:buSzTx/>
            <a:buFontTx/>
            <a:buNone/>
            <a:tabLst/>
            <a:defRPr/>
          </a:pPr>
          <a:br>
            <a:rPr lang="de-DE" sz="1000" b="0" kern="1200">
              <a:solidFill>
                <a:schemeClr val="tx1"/>
              </a:solidFill>
              <a:effectLst/>
              <a:latin typeface="Arial" panose="020B0604020202020204" pitchFamily="34" charset="0"/>
              <a:ea typeface="+mn-ea"/>
              <a:cs typeface="Arial" panose="020B0604020202020204" pitchFamily="34" charset="0"/>
            </a:rPr>
          </a:br>
          <a:r>
            <a:rPr lang="de-DE" sz="1000" b="0" kern="1200">
              <a:solidFill>
                <a:schemeClr val="tx1"/>
              </a:solidFill>
              <a:effectLst/>
              <a:latin typeface="Arial" panose="020B0604020202020204" pitchFamily="34" charset="0"/>
              <a:ea typeface="+mn-ea"/>
              <a:cs typeface="Arial" panose="020B0604020202020204" pitchFamily="34" charset="0"/>
            </a:rPr>
            <a:t>Alongside uncertainties about the future carbon price – regularly projected by various actors and which depends on several factors such as effective emissions reductions by the countries and mechanisms foreseen in the Market Stability Reserve (MSR) – public debate focuses on the revenue and their use. The</a:t>
          </a:r>
          <a:r>
            <a:rPr lang="de-DE" sz="1000" b="0" kern="1200" baseline="0">
              <a:solidFill>
                <a:schemeClr val="tx1"/>
              </a:solidFill>
              <a:effectLst/>
              <a:latin typeface="Arial" panose="020B0604020202020204" pitchFamily="34" charset="0"/>
              <a:ea typeface="+mn-ea"/>
              <a:cs typeface="Arial" panose="020B0604020202020204" pitchFamily="34" charset="0"/>
            </a:rPr>
            <a:t> ETS2 and SCF revenue should be spent t</a:t>
          </a:r>
          <a:r>
            <a:rPr lang="de-DE" sz="1000" b="0" kern="1200">
              <a:solidFill>
                <a:schemeClr val="tx1"/>
              </a:solidFill>
              <a:effectLst/>
              <a:latin typeface="Arial" panose="020B0604020202020204" pitchFamily="34" charset="0"/>
              <a:ea typeface="+mn-ea"/>
              <a:cs typeface="Arial" panose="020B0604020202020204" pitchFamily="34" charset="0"/>
            </a:rPr>
            <a:t>o reduce emissions in a socially fair way while shielding the vulnerable population from potential</a:t>
          </a:r>
          <a:r>
            <a:rPr lang="de-DE" sz="1000" b="0" kern="1200" baseline="0">
              <a:solidFill>
                <a:schemeClr val="tx1"/>
              </a:solidFill>
              <a:effectLst/>
              <a:latin typeface="Arial" panose="020B0604020202020204" pitchFamily="34" charset="0"/>
              <a:ea typeface="+mn-ea"/>
              <a:cs typeface="Arial" panose="020B0604020202020204" pitchFamily="34" charset="0"/>
            </a:rPr>
            <a:t> negative </a:t>
          </a:r>
          <a:r>
            <a:rPr lang="de-DE" sz="1000" b="0" kern="1200">
              <a:solidFill>
                <a:schemeClr val="tx1"/>
              </a:solidFill>
              <a:effectLst/>
              <a:latin typeface="Arial" panose="020B0604020202020204" pitchFamily="34" charset="0"/>
              <a:ea typeface="+mn-ea"/>
              <a:cs typeface="Arial" panose="020B0604020202020204" pitchFamily="34" charset="0"/>
            </a:rPr>
            <a:t>impact. Agora Energiewende </a:t>
          </a:r>
          <a:r>
            <a:rPr lang="de-DE" sz="1000" b="0" kern="1200" baseline="0">
              <a:solidFill>
                <a:schemeClr val="tx1"/>
              </a:solidFill>
              <a:effectLst/>
              <a:latin typeface="Arial" panose="020B0604020202020204" pitchFamily="34" charset="0"/>
              <a:ea typeface="+mn-ea"/>
              <a:cs typeface="Arial" panose="020B0604020202020204" pitchFamily="34" charset="0"/>
            </a:rPr>
            <a:t>has developed this Excel tool to support these discussions with a solid factual basis. The tool estimates, for each Member State, the revenues available each year between 2027 and 2032 under different price scenarios; the share of the SCF within those revenues; and the portion that widely discussed support measures would require based on input assumptions.</a:t>
          </a:r>
          <a:endParaRPr lang="de-DE" sz="1000">
            <a:effectLst/>
            <a:latin typeface="Arial" panose="020B0604020202020204" pitchFamily="34" charset="0"/>
            <a:ea typeface="+mn-ea"/>
            <a:cs typeface="Arial" panose="020B0604020202020204" pitchFamily="34" charset="0"/>
          </a:endParaRPr>
        </a:p>
      </xdr:txBody>
    </xdr:sp>
    <xdr:clientData/>
  </xdr:oneCellAnchor>
  <xdr:oneCellAnchor>
    <xdr:from>
      <xdr:col>11</xdr:col>
      <xdr:colOff>523879</xdr:colOff>
      <xdr:row>1</xdr:row>
      <xdr:rowOff>218054</xdr:rowOff>
    </xdr:from>
    <xdr:ext cx="1332000" cy="527909"/>
    <xdr:pic>
      <xdr:nvPicPr>
        <xdr:cNvPr id="4" name="Grafik 3">
          <a:hlinkClick xmlns:r="http://schemas.openxmlformats.org/officeDocument/2006/relationships" r:id="rId1"/>
          <a:extLst>
            <a:ext uri="{FF2B5EF4-FFF2-40B4-BE49-F238E27FC236}">
              <a16:creationId xmlns:a16="http://schemas.microsoft.com/office/drawing/2014/main" id="{59FFED7F-A67D-4414-9688-86C7C05B21BA}"/>
            </a:ext>
          </a:extLst>
        </xdr:cNvPr>
        <xdr:cNvPicPr>
          <a:picLocks/>
        </xdr:cNvPicPr>
      </xdr:nvPicPr>
      <xdr:blipFill rotWithShape="1">
        <a:blip xmlns:r="http://schemas.openxmlformats.org/officeDocument/2006/relationships" r:embed="rId2"/>
        <a:srcRect l="6474" t="10772" b="7926"/>
        <a:stretch/>
      </xdr:blipFill>
      <xdr:spPr>
        <a:xfrm>
          <a:off x="8017983" y="410211"/>
          <a:ext cx="1332000" cy="52790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10</xdr:col>
      <xdr:colOff>209554</xdr:colOff>
      <xdr:row>1</xdr:row>
      <xdr:rowOff>225674</xdr:rowOff>
    </xdr:from>
    <xdr:ext cx="1368421" cy="528071"/>
    <xdr:pic>
      <xdr:nvPicPr>
        <xdr:cNvPr id="3" name="Grafik 3">
          <a:hlinkClick xmlns:r="http://schemas.openxmlformats.org/officeDocument/2006/relationships" r:id="rId1"/>
          <a:extLst>
            <a:ext uri="{FF2B5EF4-FFF2-40B4-BE49-F238E27FC236}">
              <a16:creationId xmlns:a16="http://schemas.microsoft.com/office/drawing/2014/main" id="{6D39F87C-AA07-4B13-9E74-6FADB79F6C20}"/>
            </a:ext>
          </a:extLst>
        </xdr:cNvPr>
        <xdr:cNvPicPr>
          <a:picLocks noChangeAspect="1"/>
        </xdr:cNvPicPr>
      </xdr:nvPicPr>
      <xdr:blipFill rotWithShape="1">
        <a:blip xmlns:r="http://schemas.openxmlformats.org/officeDocument/2006/relationships" r:embed="rId2"/>
        <a:srcRect l="6474" t="10772" b="7926"/>
        <a:stretch/>
      </xdr:blipFill>
      <xdr:spPr>
        <a:xfrm>
          <a:off x="7014214" y="423794"/>
          <a:ext cx="1368421" cy="528071"/>
        </a:xfrm>
        <a:prstGeom prst="rect">
          <a:avLst/>
        </a:prstGeom>
      </xdr:spPr>
    </xdr:pic>
    <xdr:clientData/>
  </xdr:oneCellAnchor>
  <xdr:oneCellAnchor>
    <xdr:from>
      <xdr:col>2</xdr:col>
      <xdr:colOff>78739</xdr:colOff>
      <xdr:row>6</xdr:row>
      <xdr:rowOff>30260</xdr:rowOff>
    </xdr:from>
    <xdr:ext cx="7408739" cy="6278652"/>
    <xdr:sp macro="" textlink="">
      <xdr:nvSpPr>
        <xdr:cNvPr id="6" name="Textfeld 1">
          <a:extLst>
            <a:ext uri="{FF2B5EF4-FFF2-40B4-BE49-F238E27FC236}">
              <a16:creationId xmlns:a16="http://schemas.microsoft.com/office/drawing/2014/main" id="{5958ECD6-41C6-4455-8B4B-62480773E9E1}"/>
            </a:ext>
          </a:extLst>
        </xdr:cNvPr>
        <xdr:cNvSpPr txBox="1"/>
      </xdr:nvSpPr>
      <xdr:spPr>
        <a:xfrm>
          <a:off x="414915" y="1442201"/>
          <a:ext cx="7408739" cy="6278652"/>
        </a:xfrm>
        <a:prstGeom prst="rect">
          <a:avLst/>
        </a:prstGeom>
        <a:solidFill>
          <a:schemeClr val="bg1"/>
        </a:solidFill>
      </xdr:spPr>
      <xdr:txBody>
        <a:bodyPr vertOverflow="clip" horzOverflow="clip" wrap="square" lIns="36000" tIns="0" rIns="0" bIns="0" rtlCol="0" anchor="t">
          <a:noAutofit/>
        </a:bodyPr>
        <a:lstStyle/>
        <a:p>
          <a:pPr marL="0" indent="0">
            <a:lnSpc>
              <a:spcPct val="130000"/>
            </a:lnSpc>
          </a:pPr>
          <a:r>
            <a:rPr lang="de-DE" sz="1400" b="1" kern="1200">
              <a:solidFill>
                <a:schemeClr val="accent1"/>
              </a:solidFill>
              <a:effectLst/>
              <a:latin typeface="Arial" panose="020B0604020202020204" pitchFamily="34" charset="0"/>
              <a:ea typeface="+mn-ea"/>
              <a:cs typeface="Arial" panose="020B0604020202020204" pitchFamily="34" charset="0"/>
            </a:rPr>
            <a:t>1. </a:t>
          </a:r>
          <a:r>
            <a:rPr lang="de-DE" sz="1000" b="1" kern="1200">
              <a:solidFill>
                <a:schemeClr val="accent1"/>
              </a:solidFill>
              <a:effectLst/>
              <a:latin typeface="Arial" panose="020B0604020202020204" pitchFamily="34" charset="0"/>
              <a:ea typeface="+mn-ea"/>
              <a:cs typeface="Arial" panose="020B0604020202020204" pitchFamily="34" charset="0"/>
            </a:rPr>
            <a:t>In the "Dashboard"</a:t>
          </a:r>
          <a:r>
            <a:rPr lang="de-DE" sz="1000" b="1" kern="1200" baseline="0">
              <a:solidFill>
                <a:schemeClr val="accent1"/>
              </a:solidFill>
              <a:effectLst/>
              <a:latin typeface="Arial" panose="020B0604020202020204" pitchFamily="34" charset="0"/>
              <a:ea typeface="+mn-ea"/>
              <a:cs typeface="Arial" panose="020B0604020202020204" pitchFamily="34" charset="0"/>
            </a:rPr>
            <a:t> tab, choose values in the purple cells.</a:t>
          </a:r>
        </a:p>
        <a:p>
          <a:pPr marL="0" indent="0">
            <a:lnSpc>
              <a:spcPct val="130000"/>
            </a:lnSpc>
          </a:pPr>
          <a:r>
            <a:rPr lang="de-DE" sz="1400" b="1" kern="1200" baseline="0">
              <a:solidFill>
                <a:schemeClr val="accent1"/>
              </a:solidFill>
              <a:effectLst/>
              <a:latin typeface="Arial" panose="020B0604020202020204" pitchFamily="34" charset="0"/>
              <a:ea typeface="+mn-ea"/>
              <a:cs typeface="Arial" panose="020B0604020202020204" pitchFamily="34" charset="0"/>
            </a:rPr>
            <a:t>2. </a:t>
          </a:r>
          <a:r>
            <a:rPr lang="de-DE" sz="1000" b="1" kern="1200" baseline="0">
              <a:solidFill>
                <a:schemeClr val="accent1"/>
              </a:solidFill>
              <a:effectLst/>
              <a:latin typeface="Arial" panose="020B0604020202020204" pitchFamily="34" charset="0"/>
              <a:ea typeface="+mn-ea"/>
              <a:cs typeface="Arial" panose="020B0604020202020204" pitchFamily="34" charset="0"/>
            </a:rPr>
            <a:t>After each value update, click the button </a:t>
          </a:r>
          <a:r>
            <a:rPr lang="de-DE" sz="1000" b="1" i="1" kern="1200" baseline="0">
              <a:solidFill>
                <a:schemeClr val="accent1"/>
              </a:solidFill>
              <a:effectLst/>
              <a:latin typeface="Arial" panose="020B0604020202020204" pitchFamily="34" charset="0"/>
              <a:ea typeface="+mn-ea"/>
              <a:cs typeface="Arial" panose="020B0604020202020204" pitchFamily="34" charset="0"/>
            </a:rPr>
            <a:t>Refresh All </a:t>
          </a:r>
          <a:r>
            <a:rPr lang="de-DE" sz="1000" b="1" kern="1200" baseline="0">
              <a:solidFill>
                <a:schemeClr val="accent1"/>
              </a:solidFill>
              <a:effectLst/>
              <a:latin typeface="Arial" panose="020B0604020202020204" pitchFamily="34" charset="0"/>
              <a:ea typeface="+mn-ea"/>
              <a:cs typeface="Arial" panose="020B0604020202020204" pitchFamily="34" charset="0"/>
            </a:rPr>
            <a:t>under the "Data" tab twice,  </a:t>
          </a:r>
          <a:br>
            <a:rPr lang="de-DE" sz="1000" b="1" kern="1200" baseline="0">
              <a:solidFill>
                <a:schemeClr val="accent1"/>
              </a:solidFill>
              <a:effectLst/>
              <a:latin typeface="Arial" panose="020B0604020202020204" pitchFamily="34" charset="0"/>
              <a:ea typeface="+mn-ea"/>
              <a:cs typeface="Arial" panose="020B0604020202020204" pitchFamily="34" charset="0"/>
            </a:rPr>
          </a:br>
          <a:r>
            <a:rPr lang="de-DE" sz="1000" b="1" kern="1200" baseline="0">
              <a:solidFill>
                <a:schemeClr val="accent1"/>
              </a:solidFill>
              <a:effectLst/>
              <a:latin typeface="Arial" panose="020B0604020202020204" pitchFamily="34" charset="0"/>
              <a:ea typeface="+mn-ea"/>
              <a:cs typeface="Arial" panose="020B0604020202020204" pitchFamily="34" charset="0"/>
            </a:rPr>
            <a:t>so the calculations and graphs are updated (content must be allowed in excel first).</a:t>
          </a:r>
        </a:p>
        <a:p>
          <a:pPr marL="0" indent="0">
            <a:lnSpc>
              <a:spcPct val="130000"/>
            </a:lnSpc>
          </a:pPr>
          <a:r>
            <a:rPr lang="de-DE" sz="1400" b="1" kern="1200" baseline="0">
              <a:solidFill>
                <a:schemeClr val="accent1"/>
              </a:solidFill>
              <a:effectLst/>
              <a:latin typeface="Arial" panose="020B0604020202020204" pitchFamily="34" charset="0"/>
              <a:ea typeface="+mn-ea"/>
              <a:cs typeface="Arial" panose="020B0604020202020204" pitchFamily="34" charset="0"/>
            </a:rPr>
            <a:t>3. </a:t>
          </a:r>
          <a:r>
            <a:rPr lang="de-DE" sz="1000" b="1" kern="1200" baseline="0">
              <a:solidFill>
                <a:schemeClr val="accent1"/>
              </a:solidFill>
              <a:effectLst/>
              <a:latin typeface="Arial" panose="020B0604020202020204" pitchFamily="34" charset="0"/>
              <a:ea typeface="+mn-ea"/>
              <a:cs typeface="Arial" panose="020B0604020202020204" pitchFamily="34" charset="0"/>
            </a:rPr>
            <a:t>Select the geography in the slicer (double-clic to ensure the whole set of data is </a:t>
          </a:r>
          <a:br>
            <a:rPr lang="de-DE" sz="1000" b="1" kern="1200" baseline="0">
              <a:solidFill>
                <a:schemeClr val="accent1"/>
              </a:solidFill>
              <a:effectLst/>
              <a:latin typeface="Arial" panose="020B0604020202020204" pitchFamily="34" charset="0"/>
              <a:ea typeface="+mn-ea"/>
              <a:cs typeface="Arial" panose="020B0604020202020204" pitchFamily="34" charset="0"/>
            </a:rPr>
          </a:br>
          <a:r>
            <a:rPr lang="de-DE" sz="1000" b="1" kern="1200" baseline="0">
              <a:solidFill>
                <a:schemeClr val="accent1"/>
              </a:solidFill>
              <a:effectLst/>
              <a:latin typeface="Arial" panose="020B0604020202020204" pitchFamily="34" charset="0"/>
              <a:ea typeface="+mn-ea"/>
              <a:cs typeface="Arial" panose="020B0604020202020204" pitchFamily="34" charset="0"/>
            </a:rPr>
            <a:t>updated). Users can change the geography without refreshing the data until the next</a:t>
          </a:r>
          <a:br>
            <a:rPr lang="de-DE" sz="1000" b="1" kern="1200" baseline="0">
              <a:solidFill>
                <a:schemeClr val="accent1"/>
              </a:solidFill>
              <a:effectLst/>
              <a:latin typeface="Arial" panose="020B0604020202020204" pitchFamily="34" charset="0"/>
              <a:ea typeface="+mn-ea"/>
              <a:cs typeface="Arial" panose="020B0604020202020204" pitchFamily="34" charset="0"/>
            </a:rPr>
          </a:br>
          <a:r>
            <a:rPr lang="de-DE" sz="1000" b="1" kern="1200" baseline="0">
              <a:solidFill>
                <a:schemeClr val="accent1"/>
              </a:solidFill>
              <a:effectLst/>
              <a:latin typeface="Arial" panose="020B0604020202020204" pitchFamily="34" charset="0"/>
              <a:ea typeface="+mn-ea"/>
              <a:cs typeface="Arial" panose="020B0604020202020204" pitchFamily="34" charset="0"/>
            </a:rPr>
            <a:t>change in values/assumptions.</a:t>
          </a:r>
        </a:p>
        <a:p>
          <a:pPr marL="0" indent="0">
            <a:lnSpc>
              <a:spcPct val="130000"/>
            </a:lnSpc>
          </a:pPr>
          <a:endParaRPr lang="de-DE" sz="1000" b="0" kern="1200" baseline="0">
            <a:solidFill>
              <a:schemeClr val="tx1"/>
            </a:solidFill>
            <a:effectLst/>
            <a:latin typeface="Arial" panose="020B0604020202020204" pitchFamily="34" charset="0"/>
            <a:ea typeface="+mn-ea"/>
            <a:cs typeface="Arial" panose="020B0604020202020204" pitchFamily="34" charset="0"/>
          </a:endParaRPr>
        </a:p>
        <a:p>
          <a:pPr marL="0" indent="0">
            <a:lnSpc>
              <a:spcPct val="130000"/>
            </a:lnSpc>
          </a:pPr>
          <a:endParaRPr lang="de-DE" sz="1000">
            <a:effectLst/>
            <a:latin typeface="Arial" panose="020B0604020202020204" pitchFamily="34" charset="0"/>
            <a:ea typeface="+mn-ea"/>
            <a:cs typeface="Arial" panose="020B0604020202020204" pitchFamily="34" charset="0"/>
          </a:endParaRPr>
        </a:p>
        <a:p>
          <a:pPr marL="0" indent="0">
            <a:lnSpc>
              <a:spcPct val="130000"/>
            </a:lnSpc>
            <a:spcAft>
              <a:spcPts val="600"/>
            </a:spcAft>
          </a:pPr>
          <a:r>
            <a:rPr lang="de-DE" sz="1000">
              <a:effectLst/>
              <a:latin typeface="Arial" panose="020B0604020202020204" pitchFamily="34" charset="0"/>
              <a:ea typeface="+mn-ea"/>
              <a:cs typeface="Arial" panose="020B0604020202020204" pitchFamily="34" charset="0"/>
            </a:rPr>
            <a:t>The tool allows users to select and</a:t>
          </a:r>
          <a:r>
            <a:rPr lang="de-DE" sz="1000" baseline="0">
              <a:effectLst/>
              <a:latin typeface="Arial" panose="020B0604020202020204" pitchFamily="34" charset="0"/>
              <a:ea typeface="+mn-ea"/>
              <a:cs typeface="Arial" panose="020B0604020202020204" pitchFamily="34" charset="0"/>
            </a:rPr>
            <a:t> customise</a:t>
          </a:r>
          <a:r>
            <a:rPr lang="de-DE" sz="1000">
              <a:effectLst/>
              <a:latin typeface="Arial" panose="020B0604020202020204" pitchFamily="34" charset="0"/>
              <a:ea typeface="+mn-ea"/>
              <a:cs typeface="Arial" panose="020B0604020202020204" pitchFamily="34" charset="0"/>
            </a:rPr>
            <a:t> the following parameters:</a:t>
          </a:r>
          <a:r>
            <a:rPr lang="de-DE" sz="1100" b="0" i="0" u="none" strike="noStrike">
              <a:effectLst/>
              <a:latin typeface="+mn-lt"/>
              <a:ea typeface="+mn-ea"/>
              <a:cs typeface="+mn-cs"/>
            </a:rPr>
            <a:t> </a:t>
          </a:r>
          <a:r>
            <a:rPr lang="de-DE" sz="1000"/>
            <a:t> </a:t>
          </a:r>
        </a:p>
        <a:p>
          <a:pPr marL="0" indent="0">
            <a:lnSpc>
              <a:spcPct val="130000"/>
            </a:lnSpc>
          </a:pPr>
          <a:r>
            <a:rPr lang="de-DE" sz="1000" b="1">
              <a:effectLst/>
              <a:latin typeface="Arial" panose="020B0604020202020204" pitchFamily="34" charset="0"/>
              <a:ea typeface="+mn-ea"/>
              <a:cs typeface="Arial" panose="020B0604020202020204" pitchFamily="34" charset="0"/>
            </a:rPr>
            <a:t>Revenue</a:t>
          </a:r>
          <a:r>
            <a:rPr lang="de-DE" sz="1000" b="1" baseline="0">
              <a:effectLst/>
              <a:latin typeface="Arial" panose="020B0604020202020204" pitchFamily="34" charset="0"/>
              <a:ea typeface="+mn-ea"/>
              <a:cs typeface="Arial" panose="020B0604020202020204" pitchFamily="34" charset="0"/>
            </a:rPr>
            <a:t> p</a:t>
          </a:r>
          <a:r>
            <a:rPr lang="de-DE" sz="1000" b="1">
              <a:effectLst/>
              <a:latin typeface="Arial" panose="020B0604020202020204" pitchFamily="34" charset="0"/>
              <a:ea typeface="+mn-ea"/>
              <a:cs typeface="Arial" panose="020B0604020202020204" pitchFamily="34" charset="0"/>
            </a:rPr>
            <a:t>arameters:</a:t>
          </a:r>
        </a:p>
        <a:p>
          <a:pPr marL="0" indent="0">
            <a:lnSpc>
              <a:spcPct val="130000"/>
            </a:lnSpc>
          </a:pPr>
          <a:r>
            <a:rPr lang="de-DE" sz="1000" baseline="0">
              <a:effectLst/>
              <a:latin typeface="Arial" panose="020B0604020202020204" pitchFamily="34" charset="0"/>
              <a:ea typeface="+mn-ea"/>
              <a:cs typeface="Arial" panose="020B0604020202020204" pitchFamily="34" charset="0"/>
            </a:rPr>
            <a:t>- Carbon price trajectory and a maximum carbon price</a:t>
          </a:r>
        </a:p>
        <a:p>
          <a:pPr marL="0" marR="0" lvl="0" indent="0" defTabSz="914400" eaLnBrk="1" fontAlgn="auto" latinLnBrk="0" hangingPunct="1">
            <a:lnSpc>
              <a:spcPct val="130000"/>
            </a:lnSpc>
            <a:spcBef>
              <a:spcPts val="0"/>
            </a:spcBef>
            <a:spcAft>
              <a:spcPts val="0"/>
            </a:spcAft>
            <a:buClrTx/>
            <a:buSzTx/>
            <a:buFontTx/>
            <a:buNone/>
            <a:tabLst/>
            <a:defRPr/>
          </a:pPr>
          <a:r>
            <a:rPr lang="de-DE" sz="1000" baseline="0">
              <a:effectLst/>
              <a:latin typeface="Arial" panose="020B0604020202020204" pitchFamily="34" charset="0"/>
              <a:ea typeface="+mn-ea"/>
              <a:cs typeface="Arial" panose="020B0604020202020204" pitchFamily="34" charset="0"/>
            </a:rPr>
            <a:t>- Optional frontloading: a mechanism allowing MS to use their future revenues earlier, which will be repaid from the sales revenues in the period 2030-2035 at an interest rate of 2.70%. Users can specify the percentage of allowances from this period to be used (maximum 50%) as well as the price at which they will be valued in 2026. The amount is split in equal amounts between 2026 and 2027 for an ETS2 start in 2028. The revenues are considered to fill the MS own contribution to the SCF, but not the SCF itself as frontloading only applies to individual MS that decide to use it.</a:t>
          </a:r>
          <a:br>
            <a:rPr lang="de-DE" sz="1000" baseline="0">
              <a:effectLst/>
              <a:latin typeface="Arial" panose="020B0604020202020204" pitchFamily="34" charset="0"/>
              <a:ea typeface="+mn-ea"/>
              <a:cs typeface="Arial" panose="020B0604020202020204" pitchFamily="34" charset="0"/>
            </a:rPr>
          </a:br>
          <a:r>
            <a:rPr lang="de-DE" sz="1000" baseline="0">
              <a:effectLst/>
              <a:latin typeface="Arial" panose="020B0604020202020204" pitchFamily="34" charset="0"/>
              <a:ea typeface="+mn-ea"/>
              <a:cs typeface="Arial" panose="020B0604020202020204" pitchFamily="34" charset="0"/>
            </a:rPr>
            <a:t>- Optional early auctions of 2028 allowances in 2027, in case the ETS2 is introduced in 2028. The revenues are considered to be filling the SCF first, the residual amount being split among MS based on the average emissions in the period 2014-2016. </a:t>
          </a:r>
          <a:r>
            <a:rPr kumimoji="0" lang="de-DE"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Users can specify the percentage of allowances from 2028 to be auctioned in 2027 (maximum 50%).</a:t>
          </a:r>
          <a:endParaRPr lang="de-DE" sz="1000" baseline="0">
            <a:effectLst/>
            <a:latin typeface="Arial" panose="020B0604020202020204" pitchFamily="34" charset="0"/>
            <a:ea typeface="+mn-ea"/>
            <a:cs typeface="Arial" panose="020B0604020202020204" pitchFamily="34" charset="0"/>
          </a:endParaRPr>
        </a:p>
        <a:p>
          <a:pPr marL="0" indent="0">
            <a:lnSpc>
              <a:spcPct val="130000"/>
            </a:lnSpc>
          </a:pPr>
          <a:endParaRPr lang="de-DE" sz="1000" baseline="0">
            <a:effectLst/>
            <a:latin typeface="Arial" panose="020B0604020202020204" pitchFamily="34" charset="0"/>
            <a:ea typeface="+mn-ea"/>
            <a:cs typeface="Arial" panose="020B0604020202020204" pitchFamily="34" charset="0"/>
          </a:endParaRPr>
        </a:p>
        <a:p>
          <a:pPr marL="0" indent="0">
            <a:lnSpc>
              <a:spcPct val="130000"/>
            </a:lnSpc>
          </a:pPr>
          <a:r>
            <a:rPr lang="de-DE" sz="1000" b="1" baseline="0">
              <a:effectLst/>
              <a:latin typeface="Arial" panose="020B0604020202020204" pitchFamily="34" charset="0"/>
              <a:ea typeface="+mn-ea"/>
              <a:cs typeface="Arial" panose="020B0604020202020204" pitchFamily="34" charset="0"/>
            </a:rPr>
            <a:t>Spending parameters:</a:t>
          </a:r>
        </a:p>
        <a:p>
          <a:pPr marL="0" indent="0">
            <a:lnSpc>
              <a:spcPct val="130000"/>
            </a:lnSpc>
          </a:pPr>
          <a:r>
            <a:rPr lang="de-DE" sz="1000" baseline="0">
              <a:effectLst/>
              <a:latin typeface="Arial" panose="020B0604020202020204" pitchFamily="34" charset="0"/>
              <a:ea typeface="+mn-ea"/>
              <a:cs typeface="Arial" panose="020B0604020202020204" pitchFamily="34" charset="0"/>
            </a:rPr>
            <a:t>- Share of the SCF that can be used for direct income support: both the portion that can be allocated to direct income support and the minimum own contribution by MS can be adjusted beyond the 37.5% and 25% set in the ETS Directive.</a:t>
          </a:r>
        </a:p>
        <a:p>
          <a:pPr marL="0" indent="0">
            <a:lnSpc>
              <a:spcPct val="130000"/>
            </a:lnSpc>
          </a:pPr>
          <a:r>
            <a:rPr lang="de-DE" sz="1000" baseline="0">
              <a:effectLst/>
              <a:latin typeface="Arial" panose="020B0604020202020204" pitchFamily="34" charset="0"/>
              <a:ea typeface="+mn-ea"/>
              <a:cs typeface="Arial" panose="020B0604020202020204" pitchFamily="34" charset="0"/>
            </a:rPr>
            <a:t>- Direct income support starts in the year of introduction of ETS2. It is automatically indexed to carbon price developments after its start in 2027 or 2028, and the share of beneficiaries in the population declines by 2% point per year.</a:t>
          </a:r>
        </a:p>
        <a:p>
          <a:pPr marL="0" indent="0">
            <a:lnSpc>
              <a:spcPct val="130000"/>
            </a:lnSpc>
          </a:pPr>
          <a:r>
            <a:rPr lang="de-DE" sz="1000" baseline="0">
              <a:effectLst/>
              <a:latin typeface="Arial" panose="020B0604020202020204" pitchFamily="34" charset="0"/>
              <a:ea typeface="+mn-ea"/>
              <a:cs typeface="Arial" panose="020B0604020202020204" pitchFamily="34" charset="0"/>
            </a:rPr>
            <a:t>- Social leasing for electric vehicles: assumes a three-year lease for a small size EV, with a grant covering part of the upfront cost and a share of the monthly lease payment.</a:t>
          </a:r>
        </a:p>
        <a:p>
          <a:pPr marL="0" indent="0">
            <a:lnSpc>
              <a:spcPct val="130000"/>
            </a:lnSpc>
          </a:pPr>
          <a:r>
            <a:rPr lang="de-DE" sz="1000" baseline="0">
              <a:effectLst/>
              <a:latin typeface="Arial" panose="020B0604020202020204" pitchFamily="34" charset="0"/>
              <a:ea typeface="+mn-ea"/>
              <a:cs typeface="Arial" panose="020B0604020202020204" pitchFamily="34" charset="0"/>
            </a:rPr>
            <a:t>- Social financing for heat pumps: a grant covers part of the upfront (investment + installation) cost, while the remainder is financed through a zero-interest household loan over the lifetime of the heat pump. Public spending covers the grant and yearly interest payments.</a:t>
          </a:r>
        </a:p>
      </xdr:txBody>
    </xdr:sp>
    <xdr:clientData/>
  </xdr:oneCellAnchor>
  <xdr:oneCellAnchor>
    <xdr:from>
      <xdr:col>15</xdr:col>
      <xdr:colOff>21343</xdr:colOff>
      <xdr:row>11</xdr:row>
      <xdr:rowOff>12452</xdr:rowOff>
    </xdr:from>
    <xdr:ext cx="11539780" cy="5355166"/>
    <xdr:sp macro="" textlink="">
      <xdr:nvSpPr>
        <xdr:cNvPr id="4" name="Textfeld 1">
          <a:extLst>
            <a:ext uri="{FF2B5EF4-FFF2-40B4-BE49-F238E27FC236}">
              <a16:creationId xmlns:a16="http://schemas.microsoft.com/office/drawing/2014/main" id="{D6863DE2-337A-4F46-86FF-338CC12A3759}"/>
            </a:ext>
          </a:extLst>
        </xdr:cNvPr>
        <xdr:cNvSpPr txBox="1"/>
      </xdr:nvSpPr>
      <xdr:spPr>
        <a:xfrm>
          <a:off x="8952431" y="2376893"/>
          <a:ext cx="11539780" cy="5355166"/>
        </a:xfrm>
        <a:prstGeom prst="rect">
          <a:avLst/>
        </a:prstGeom>
        <a:solidFill>
          <a:schemeClr val="bg1"/>
        </a:solidFill>
      </xdr:spPr>
      <xdr:txBody>
        <a:bodyPr vertOverflow="clip" horzOverflow="clip" wrap="square" lIns="36000" tIns="0" rIns="0" bIns="0" rtlCol="0" anchor="t">
          <a:noAutofit/>
        </a:bodyPr>
        <a:lstStyle/>
        <a:p>
          <a:pPr marL="0" indent="0">
            <a:lnSpc>
              <a:spcPct val="130000"/>
            </a:lnSpc>
          </a:pPr>
          <a:r>
            <a:rPr lang="de-DE" sz="1000" b="1" baseline="0">
              <a:effectLst/>
              <a:latin typeface="+mn-lt"/>
              <a:ea typeface="+mn-ea"/>
              <a:cs typeface="+mn-cs"/>
            </a:rPr>
            <a:t>Notes</a:t>
          </a:r>
          <a:endParaRPr lang="de-DE" sz="1000" b="1" kern="1200" baseline="0">
            <a:solidFill>
              <a:schemeClr val="tx1"/>
            </a:solidFill>
            <a:effectLst/>
            <a:latin typeface="+mn-lt"/>
            <a:ea typeface="+mn-ea"/>
            <a:cs typeface="+mn-cs"/>
          </a:endParaRPr>
        </a:p>
        <a:p>
          <a:pPr marL="0" indent="0">
            <a:lnSpc>
              <a:spcPct val="130000"/>
            </a:lnSpc>
          </a:pPr>
          <a:r>
            <a:rPr lang="de-DE" sz="1000" b="0" kern="1200" baseline="0">
              <a:solidFill>
                <a:schemeClr val="tx1"/>
              </a:solidFill>
              <a:effectLst/>
              <a:latin typeface="Arial" panose="020B0604020202020204" pitchFamily="34" charset="0"/>
              <a:ea typeface="+mn-ea"/>
              <a:cs typeface="Arial" panose="020B0604020202020204" pitchFamily="34" charset="0"/>
            </a:rPr>
            <a:t>- The c</a:t>
          </a:r>
          <a:r>
            <a:rPr lang="de-DE" sz="1000" b="0" i="0" u="none" strike="noStrike">
              <a:effectLst/>
              <a:latin typeface="Arial" panose="020B0604020202020204" pitchFamily="34" charset="0"/>
              <a:ea typeface="+mn-ea"/>
              <a:cs typeface="Arial" panose="020B0604020202020204" pitchFamily="34" charset="0"/>
            </a:rPr>
            <a:t>arbon </a:t>
          </a:r>
          <a:r>
            <a:rPr lang="de-DE" sz="1000" b="0" i="0" u="none" strike="noStrike">
              <a:solidFill>
                <a:sysClr val="windowText" lastClr="000000"/>
              </a:solidFill>
              <a:effectLst/>
              <a:latin typeface="Arial" panose="020B0604020202020204" pitchFamily="34" charset="0"/>
              <a:ea typeface="+mn-ea"/>
              <a:cs typeface="Arial" panose="020B0604020202020204" pitchFamily="34" charset="0"/>
            </a:rPr>
            <a:t>price is expressed in current prices.</a:t>
          </a:r>
        </a:p>
        <a:p>
          <a:pPr marL="0" indent="0">
            <a:lnSpc>
              <a:spcPct val="130000"/>
            </a:lnSpc>
          </a:pPr>
          <a:r>
            <a:rPr lang="de-DE" sz="1000" b="0" i="0" u="none" strike="noStrike">
              <a:effectLst/>
              <a:latin typeface="Arial" panose="020B0604020202020204" pitchFamily="34" charset="0"/>
              <a:ea typeface="+mn-ea"/>
              <a:cs typeface="Arial" panose="020B0604020202020204" pitchFamily="34" charset="0"/>
            </a:rPr>
            <a:t>- Volume of allowances</a:t>
          </a:r>
          <a:r>
            <a:rPr lang="de-DE" sz="1000" b="0" i="0" u="none" strike="noStrike" baseline="0">
              <a:effectLst/>
              <a:latin typeface="Arial" panose="020B0604020202020204" pitchFamily="34" charset="0"/>
              <a:ea typeface="+mn-ea"/>
              <a:cs typeface="Arial" panose="020B0604020202020204" pitchFamily="34" charset="0"/>
            </a:rPr>
            <a:t> to be auctioned under ETS2: two releases of 40 million allowances from the Market Stability Reserve (MSR) were included as proposed by the EU Commission in October 2025, based on the ETS2 price in line with Article 30h(2), with a trigger threshold of EUR 45/t in 2020 prices, converted to EUR 56.50 in 2027, EUR 57.70 in 2028 and EUR 58.80 in 2029. Other thresholds foreseen in the ETS Directive were considered not to be reached until 2032.</a:t>
          </a:r>
        </a:p>
        <a:p>
          <a:pPr marL="0" indent="0">
            <a:lnSpc>
              <a:spcPct val="130000"/>
            </a:lnSpc>
          </a:pPr>
          <a:r>
            <a:rPr lang="de-DE" sz="1000" b="0" i="0" u="none" strike="noStrike" baseline="0">
              <a:effectLst/>
              <a:latin typeface="Arial" panose="020B0604020202020204" pitchFamily="34" charset="0"/>
              <a:ea typeface="+mn-ea"/>
              <a:cs typeface="Arial" panose="020B0604020202020204" pitchFamily="34" charset="0"/>
            </a:rPr>
            <a:t>- National own contributions to the SCF before the start of the ETS2 is considered to be funded by either early auctions or frontloading of ETS2 revenues if available. If those revenues do not cover the entire own contribution, other sources of revenues such as ETS1 will be necessary to complement.</a:t>
          </a:r>
        </a:p>
        <a:p>
          <a:pPr marL="0" indent="0">
            <a:lnSpc>
              <a:spcPct val="130000"/>
            </a:lnSpc>
          </a:pPr>
          <a:endParaRPr lang="de-DE" sz="1000" b="0" i="0" u="none" strike="noStrike" baseline="0">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30000"/>
            </a:lnSpc>
            <a:spcBef>
              <a:spcPts val="0"/>
            </a:spcBef>
            <a:spcAft>
              <a:spcPts val="0"/>
            </a:spcAft>
            <a:buClrTx/>
            <a:buSzTx/>
            <a:buFontTx/>
            <a:buNone/>
            <a:tabLst/>
            <a:defRPr/>
          </a:pPr>
          <a:r>
            <a:rPr lang="de-DE" sz="1000" b="1" baseline="0">
              <a:effectLst/>
              <a:latin typeface="+mn-lt"/>
              <a:ea typeface="+mn-ea"/>
              <a:cs typeface="+mn-cs"/>
            </a:rPr>
            <a:t>Data sources</a:t>
          </a:r>
        </a:p>
        <a:p>
          <a:pPr marL="0" marR="0" lvl="0" indent="0" defTabSz="914400" eaLnBrk="1" fontAlgn="auto" latinLnBrk="0" hangingPunct="1">
            <a:lnSpc>
              <a:spcPct val="130000"/>
            </a:lnSpc>
            <a:spcBef>
              <a:spcPts val="0"/>
            </a:spcBef>
            <a:spcAft>
              <a:spcPts val="0"/>
            </a:spcAft>
            <a:buClrTx/>
            <a:buSzTx/>
            <a:buFontTx/>
            <a:buNone/>
            <a:tabLst/>
            <a:defRPr/>
          </a:pPr>
          <a:r>
            <a:rPr lang="de-DE" sz="1000" b="0" i="0" u="none" strike="noStrike">
              <a:effectLst/>
              <a:latin typeface="Arial" panose="020B0604020202020204" pitchFamily="34" charset="0"/>
              <a:ea typeface="+mn-ea"/>
              <a:cs typeface="Arial" panose="020B0604020202020204" pitchFamily="34" charset="0"/>
            </a:rPr>
            <a:t>-</a:t>
          </a:r>
          <a:r>
            <a:rPr lang="de-DE" sz="1000" b="0" i="0" u="none" strike="noStrike" baseline="0">
              <a:effectLst/>
              <a:latin typeface="Arial" panose="020B0604020202020204" pitchFamily="34" charset="0"/>
              <a:ea typeface="+mn-ea"/>
              <a:cs typeface="Arial" panose="020B0604020202020204" pitchFamily="34" charset="0"/>
            </a:rPr>
            <a:t> </a:t>
          </a:r>
          <a:r>
            <a:rPr lang="de-DE" sz="1000" b="0" i="0" u="none" strike="noStrike">
              <a:effectLst/>
              <a:latin typeface="Arial" panose="020B0604020202020204" pitchFamily="34" charset="0"/>
              <a:ea typeface="+mn-ea"/>
              <a:cs typeface="Arial" panose="020B0604020202020204" pitchFamily="34" charset="0"/>
            </a:rPr>
            <a:t>ETS Directive (2023): https://eur-lex.europa.eu/legal-content/EN/TXT/?uri=CELEX:02003L0087-20230605</a:t>
          </a:r>
        </a:p>
        <a:p>
          <a:pPr marL="0" indent="0">
            <a:lnSpc>
              <a:spcPct val="130000"/>
            </a:lnSpc>
          </a:pPr>
          <a:r>
            <a:rPr lang="de-DE" sz="1000" b="0" i="0" u="none" strike="noStrike">
              <a:effectLst/>
              <a:latin typeface="Arial" panose="020B0604020202020204" pitchFamily="34" charset="0"/>
              <a:ea typeface="+mn-ea"/>
              <a:cs typeface="Arial" panose="020B0604020202020204" pitchFamily="34" charset="0"/>
            </a:rPr>
            <a:t>- Eurostat</a:t>
          </a:r>
        </a:p>
        <a:p>
          <a:pPr marL="0" indent="0">
            <a:lnSpc>
              <a:spcPct val="130000"/>
            </a:lnSpc>
          </a:pPr>
          <a:r>
            <a:rPr lang="de-DE" sz="1000" b="0" i="0" u="none" strike="noStrike" baseline="0">
              <a:effectLst/>
              <a:latin typeface="Arial" panose="020B0604020202020204" pitchFamily="34" charset="0"/>
              <a:ea typeface="+mn-ea"/>
              <a:cs typeface="Arial" panose="020B0604020202020204" pitchFamily="34" charset="0"/>
            </a:rPr>
            <a:t>    </a:t>
          </a:r>
          <a:r>
            <a:rPr lang="de-DE" sz="1000" b="0" i="0" u="none" strike="noStrike">
              <a:effectLst/>
              <a:latin typeface="Arial" panose="020B0604020202020204" pitchFamily="34" charset="0"/>
              <a:ea typeface="+mn-ea"/>
              <a:cs typeface="Arial" panose="020B0604020202020204" pitchFamily="34" charset="0"/>
            </a:rPr>
            <a:t>- Share of population at risk of poverty (2023): https://ec.europa.eu/eurostat/databrowser/bookmark/1fe5fbf6-51a6-4b4b-a0d5-b9e715618a34?lang=en</a:t>
          </a:r>
        </a:p>
        <a:p>
          <a:pPr marL="0" indent="0">
            <a:lnSpc>
              <a:spcPct val="130000"/>
            </a:lnSpc>
          </a:pPr>
          <a:r>
            <a:rPr lang="de-DE" sz="1000" b="0" i="0" u="none" strike="noStrike">
              <a:effectLst/>
              <a:latin typeface="Arial" panose="020B0604020202020204" pitchFamily="34" charset="0"/>
              <a:ea typeface="+mn-ea"/>
              <a:cs typeface="Arial" panose="020B0604020202020204" pitchFamily="34" charset="0"/>
            </a:rPr>
            <a:t>    - Median equivalised net income </a:t>
          </a:r>
          <a:r>
            <a:rPr kumimoji="0" lang="de-DE"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(2023)</a:t>
          </a:r>
          <a:r>
            <a:rPr lang="de-DE" sz="1000" b="0" i="0" u="none" strike="noStrike">
              <a:effectLst/>
              <a:latin typeface="Arial" panose="020B0604020202020204" pitchFamily="34" charset="0"/>
              <a:ea typeface="+mn-ea"/>
              <a:cs typeface="Arial" panose="020B0604020202020204" pitchFamily="34" charset="0"/>
            </a:rPr>
            <a:t>: https://ec.europa.eu/eurostat/databrowser/view/ilc_di03/default/table?lang=en</a:t>
          </a:r>
        </a:p>
        <a:p>
          <a:pPr marL="0" indent="0">
            <a:lnSpc>
              <a:spcPct val="130000"/>
            </a:lnSpc>
          </a:pPr>
          <a:r>
            <a:rPr lang="de-DE" sz="1000" b="0" i="0" u="none" strike="noStrike">
              <a:effectLst/>
              <a:latin typeface="Arial" panose="020B0604020202020204" pitchFamily="34" charset="0"/>
              <a:ea typeface="+mn-ea"/>
              <a:cs typeface="Arial" panose="020B0604020202020204" pitchFamily="34" charset="0"/>
            </a:rPr>
            <a:t>    - EU and Member</a:t>
          </a:r>
          <a:r>
            <a:rPr lang="de-DE" sz="1000" b="0" i="0" u="none" strike="noStrike" baseline="0">
              <a:effectLst/>
              <a:latin typeface="Arial" panose="020B0604020202020204" pitchFamily="34" charset="0"/>
              <a:ea typeface="+mn-ea"/>
              <a:cs typeface="Arial" panose="020B0604020202020204" pitchFamily="34" charset="0"/>
            </a:rPr>
            <a:t> State</a:t>
          </a:r>
          <a:r>
            <a:rPr lang="de-DE" sz="1000" b="0" i="0" u="none" strike="noStrike">
              <a:effectLst/>
              <a:latin typeface="Arial" panose="020B0604020202020204" pitchFamily="34" charset="0"/>
              <a:ea typeface="+mn-ea"/>
              <a:cs typeface="Arial" panose="020B0604020202020204" pitchFamily="34" charset="0"/>
            </a:rPr>
            <a:t> population (as</a:t>
          </a:r>
          <a:r>
            <a:rPr lang="de-DE" sz="1000" b="0" i="0" u="none" strike="noStrike" baseline="0">
              <a:effectLst/>
              <a:latin typeface="Arial" panose="020B0604020202020204" pitchFamily="34" charset="0"/>
              <a:ea typeface="+mn-ea"/>
              <a:cs typeface="Arial" panose="020B0604020202020204" pitchFamily="34" charset="0"/>
            </a:rPr>
            <a:t> of 1.1.2024): https://ec.europa.eu/eurostat/databrowser/view/tps00001/default/table?lang=en&amp;category=t_demo.t_demo_pop</a:t>
          </a:r>
          <a:endParaRPr lang="de-DE" sz="1000" b="0" i="0" u="none" strike="noStrike">
            <a:effectLst/>
            <a:latin typeface="Arial" panose="020B0604020202020204" pitchFamily="34" charset="0"/>
            <a:ea typeface="+mn-ea"/>
            <a:cs typeface="Arial" panose="020B0604020202020204" pitchFamily="34" charset="0"/>
          </a:endParaRPr>
        </a:p>
        <a:p>
          <a:pPr marL="0" indent="0">
            <a:lnSpc>
              <a:spcPct val="130000"/>
            </a:lnSpc>
          </a:pPr>
          <a:r>
            <a:rPr lang="de-DE" sz="1000" b="0" i="0" u="none" strike="noStrike">
              <a:effectLst/>
              <a:latin typeface="Arial" panose="020B0604020202020204" pitchFamily="34" charset="0"/>
              <a:ea typeface="+mn-ea"/>
              <a:cs typeface="Arial" panose="020B0604020202020204" pitchFamily="34" charset="0"/>
            </a:rPr>
            <a:t>- ClearBlue Markets price forecast</a:t>
          </a:r>
          <a:r>
            <a:rPr lang="de-DE" sz="1000" b="0" i="0" u="none" strike="noStrike" baseline="0">
              <a:effectLst/>
              <a:latin typeface="Arial" panose="020B0604020202020204" pitchFamily="34" charset="0"/>
              <a:ea typeface="+mn-ea"/>
              <a:cs typeface="Arial" panose="020B0604020202020204" pitchFamily="34" charset="0"/>
            </a:rPr>
            <a:t> from</a:t>
          </a:r>
          <a:r>
            <a:rPr lang="de-DE" sz="1000" b="0" i="0" u="none" strike="noStrike">
              <a:effectLst/>
              <a:latin typeface="Arial" panose="020B0604020202020204" pitchFamily="34" charset="0"/>
              <a:ea typeface="+mn-ea"/>
              <a:cs typeface="Arial" panose="020B0604020202020204" pitchFamily="34" charset="0"/>
            </a:rPr>
            <a:t> ICE webinar - Driving decarbonization with ETS2, 04.2025 (https://www.ice.com/publicdocs/Driving_Decarbonization_with_ETS2_Webinar.pdf)</a:t>
          </a:r>
        </a:p>
        <a:p>
          <a:pPr marL="0" indent="0">
            <a:lnSpc>
              <a:spcPct val="130000"/>
            </a:lnSpc>
          </a:pPr>
          <a:r>
            <a:rPr lang="de-DE" sz="1000" b="0" i="0" u="none" strike="noStrike">
              <a:effectLst/>
              <a:latin typeface="Arial" panose="020B0604020202020204" pitchFamily="34" charset="0"/>
              <a:ea typeface="+mn-ea"/>
              <a:cs typeface="Arial" panose="020B0604020202020204" pitchFamily="34" charset="0"/>
            </a:rPr>
            <a:t>- BNEF price forecast</a:t>
          </a:r>
          <a:r>
            <a:rPr lang="de-DE" sz="1000" b="0" i="0" u="none" strike="noStrike" baseline="0">
              <a:effectLst/>
              <a:latin typeface="Arial" panose="020B0604020202020204" pitchFamily="34" charset="0"/>
              <a:ea typeface="+mn-ea"/>
              <a:cs typeface="Arial" panose="020B0604020202020204" pitchFamily="34" charset="0"/>
            </a:rPr>
            <a:t> from the report EU ETS II Pricing Scenarios, </a:t>
          </a:r>
          <a:r>
            <a:rPr lang="de-DE" sz="1000" b="0" i="0" u="none" strike="noStrike">
              <a:effectLst/>
              <a:latin typeface="Arial" panose="020B0604020202020204" pitchFamily="34" charset="0"/>
              <a:ea typeface="+mn-ea"/>
              <a:cs typeface="Arial" panose="020B0604020202020204" pitchFamily="34" charset="0"/>
            </a:rPr>
            <a:t>09.2025</a:t>
          </a:r>
          <a:r>
            <a:rPr lang="de-DE" sz="1000" b="0" i="0" u="none" strike="noStrike" baseline="0">
              <a:effectLst/>
              <a:latin typeface="Arial" panose="020B0604020202020204" pitchFamily="34" charset="0"/>
              <a:ea typeface="+mn-ea"/>
              <a:cs typeface="Arial" panose="020B0604020202020204" pitchFamily="34" charset="0"/>
            </a:rPr>
            <a:t> (https://about.bnef.com/insights/commodities/eu-ets-ii-pricing-scenarios/): the price scenario with no extension on frontloading and fixed MSR adjustment was considered for 2027-2029, prolongued with the base case for 2030-2032.</a:t>
          </a:r>
          <a:endParaRPr lang="de-DE" sz="1000" b="0" i="0" u="none" strike="noStrike">
            <a:effectLst/>
            <a:latin typeface="Arial" panose="020B0604020202020204" pitchFamily="34" charset="0"/>
            <a:ea typeface="+mn-ea"/>
            <a:cs typeface="Arial" panose="020B0604020202020204" pitchFamily="34" charset="0"/>
          </a:endParaRPr>
        </a:p>
        <a:p>
          <a:pPr marL="0" indent="0">
            <a:lnSpc>
              <a:spcPct val="130000"/>
            </a:lnSpc>
          </a:pPr>
          <a:r>
            <a:rPr lang="de-DE" sz="1000" b="0" i="0" u="none" strike="noStrike">
              <a:effectLst/>
              <a:latin typeface="Arial" panose="020B0604020202020204" pitchFamily="34" charset="0"/>
              <a:ea typeface="+mn-ea"/>
              <a:cs typeface="Arial" panose="020B0604020202020204" pitchFamily="34" charset="0"/>
            </a:rPr>
            <a:t>- Veyt price forecasts</a:t>
          </a:r>
          <a:r>
            <a:rPr lang="de-DE" sz="1000" b="0" i="0" u="none" strike="noStrike" baseline="0">
              <a:effectLst/>
              <a:latin typeface="Arial" panose="020B0604020202020204" pitchFamily="34" charset="0"/>
              <a:ea typeface="+mn-ea"/>
              <a:cs typeface="Arial" panose="020B0604020202020204" pitchFamily="34" charset="0"/>
            </a:rPr>
            <a:t> from the report</a:t>
          </a:r>
          <a:r>
            <a:rPr lang="de-DE" sz="1000" b="0" i="0" u="none" strike="noStrike">
              <a:effectLst/>
              <a:latin typeface="Arial" panose="020B0604020202020204" pitchFamily="34" charset="0"/>
              <a:ea typeface="+mn-ea"/>
              <a:cs typeface="Arial" panose="020B0604020202020204" pitchFamily="34" charset="0"/>
            </a:rPr>
            <a:t> Changes to the ETS2 framework,</a:t>
          </a:r>
          <a:r>
            <a:rPr lang="de-DE" sz="1000" b="0" i="0" u="none" strike="noStrike" baseline="0">
              <a:effectLst/>
              <a:latin typeface="Arial" panose="020B0604020202020204" pitchFamily="34" charset="0"/>
              <a:ea typeface="+mn-ea"/>
              <a:cs typeface="Arial" panose="020B0604020202020204" pitchFamily="34" charset="0"/>
            </a:rPr>
            <a:t> </a:t>
          </a:r>
          <a:r>
            <a:rPr lang="de-DE" sz="1000" b="0" i="0" u="none" strike="noStrike">
              <a:effectLst/>
              <a:latin typeface="Arial" panose="020B0604020202020204" pitchFamily="34" charset="0"/>
              <a:ea typeface="+mn-ea"/>
              <a:cs typeface="Arial" panose="020B0604020202020204" pitchFamily="34" charset="0"/>
            </a:rPr>
            <a:t>An impact assessment, 12.2025 (https://ecyrp6eeuob.exactdn.com/wp-content/uploads/2025/12/2025-12-02_Veyt_ETS2-impact.pdf): the</a:t>
          </a:r>
          <a:r>
            <a:rPr lang="de-DE" sz="1000" b="0" i="0" u="none" strike="noStrike" baseline="0">
              <a:effectLst/>
              <a:latin typeface="Arial" panose="020B0604020202020204" pitchFamily="34" charset="0"/>
              <a:ea typeface="+mn-ea"/>
              <a:cs typeface="Arial" panose="020B0604020202020204" pitchFamily="34" charset="0"/>
            </a:rPr>
            <a:t> price scenario with MSR changes + delayed start to 2028 was considered. The price applying to early auctions in 2027 has been considered to be the same as in 2028.</a:t>
          </a:r>
          <a:endParaRPr lang="de-DE" sz="1000" b="0" i="0" u="none" strike="noStrike">
            <a:effectLst/>
            <a:latin typeface="Arial" panose="020B0604020202020204" pitchFamily="34" charset="0"/>
            <a:ea typeface="+mn-ea"/>
            <a:cs typeface="Arial" panose="020B0604020202020204" pitchFamily="34" charset="0"/>
          </a:endParaRPr>
        </a:p>
        <a:p>
          <a:pPr marL="0" indent="0">
            <a:lnSpc>
              <a:spcPct val="130000"/>
            </a:lnSpc>
          </a:pPr>
          <a:r>
            <a:rPr lang="de-DE" sz="1000" b="0" i="0" u="none" strike="noStrike">
              <a:effectLst/>
              <a:latin typeface="Arial" panose="020B0604020202020204" pitchFamily="34" charset="0"/>
              <a:ea typeface="+mn-ea"/>
              <a:cs typeface="Arial" panose="020B0604020202020204" pitchFamily="34" charset="0"/>
            </a:rPr>
            <a:t>- Investment costs for EV and HP: own assumptions based on market data.</a:t>
          </a:r>
        </a:p>
        <a:p>
          <a:pPr marL="0" indent="0">
            <a:lnSpc>
              <a:spcPct val="130000"/>
            </a:lnSpc>
          </a:pPr>
          <a:endParaRPr lang="de-DE" sz="1000" b="0" i="0" u="none" strike="noStrike">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30000"/>
            </a:lnSpc>
            <a:spcBef>
              <a:spcPts val="0"/>
            </a:spcBef>
            <a:spcAft>
              <a:spcPts val="0"/>
            </a:spcAft>
            <a:buClrTx/>
            <a:buSzTx/>
            <a:buFontTx/>
            <a:buNone/>
            <a:tabLst/>
            <a:defRPr/>
          </a:pPr>
          <a:r>
            <a:rPr kumimoji="0" lang="de-DE" sz="1000" b="1" i="0" u="none" strike="noStrike" kern="0" cap="none" spc="0" normalizeH="0" baseline="0" noProof="0">
              <a:ln>
                <a:noFill/>
              </a:ln>
              <a:solidFill>
                <a:sysClr val="windowText" lastClr="000000"/>
              </a:solidFill>
              <a:effectLst/>
              <a:uLnTx/>
              <a:uFillTx/>
              <a:latin typeface="+mn-lt"/>
              <a:ea typeface="+mn-ea"/>
              <a:cs typeface="+mn-cs"/>
            </a:rPr>
            <a:t>Abbreviations</a:t>
          </a:r>
        </a:p>
        <a:p>
          <a:pPr marL="0" marR="0" lvl="0" indent="0" defTabSz="914400" eaLnBrk="1" fontAlgn="auto" latinLnBrk="0" hangingPunct="1">
            <a:lnSpc>
              <a:spcPct val="130000"/>
            </a:lnSpc>
            <a:spcBef>
              <a:spcPts val="0"/>
            </a:spcBef>
            <a:spcAft>
              <a:spcPts val="0"/>
            </a:spcAft>
            <a:buClrTx/>
            <a:buSzTx/>
            <a:buFontTx/>
            <a:buNone/>
            <a:tabLst/>
            <a:defRPr/>
          </a:pPr>
          <a:r>
            <a:rPr kumimoji="0" lang="de-DE"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ETS2: EU Emissions Trading System 2</a:t>
          </a:r>
        </a:p>
        <a:p>
          <a:pPr marL="0" marR="0" lvl="0" indent="0" defTabSz="914400" eaLnBrk="1" fontAlgn="auto" latinLnBrk="0" hangingPunct="1">
            <a:lnSpc>
              <a:spcPct val="130000"/>
            </a:lnSpc>
            <a:spcBef>
              <a:spcPts val="0"/>
            </a:spcBef>
            <a:spcAft>
              <a:spcPts val="0"/>
            </a:spcAft>
            <a:buClrTx/>
            <a:buSzTx/>
            <a:buFontTx/>
            <a:buNone/>
            <a:tabLst/>
            <a:defRPr/>
          </a:pPr>
          <a:r>
            <a:rPr kumimoji="0" lang="de-DE"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EV: electric vehicle</a:t>
          </a:r>
        </a:p>
        <a:p>
          <a:pPr marL="0" marR="0" lvl="0" indent="0" defTabSz="914400" eaLnBrk="1" fontAlgn="auto" latinLnBrk="0" hangingPunct="1">
            <a:lnSpc>
              <a:spcPct val="130000"/>
            </a:lnSpc>
            <a:spcBef>
              <a:spcPts val="0"/>
            </a:spcBef>
            <a:spcAft>
              <a:spcPts val="0"/>
            </a:spcAft>
            <a:buClrTx/>
            <a:buSzTx/>
            <a:buFontTx/>
            <a:buNone/>
            <a:tabLst/>
            <a:defRPr/>
          </a:pPr>
          <a:r>
            <a:rPr kumimoji="0" lang="de-DE"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HP: heat pump</a:t>
          </a:r>
        </a:p>
        <a:p>
          <a:pPr marL="0" marR="0" lvl="0" indent="0" defTabSz="914400" eaLnBrk="1" fontAlgn="auto" latinLnBrk="0" hangingPunct="1">
            <a:lnSpc>
              <a:spcPct val="130000"/>
            </a:lnSpc>
            <a:spcBef>
              <a:spcPts val="0"/>
            </a:spcBef>
            <a:spcAft>
              <a:spcPts val="0"/>
            </a:spcAft>
            <a:buClrTx/>
            <a:buSzTx/>
            <a:buFontTx/>
            <a:buNone/>
            <a:tabLst/>
            <a:defRPr/>
          </a:pPr>
          <a:r>
            <a:rPr kumimoji="0" lang="de-DE"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MS: Member State</a:t>
          </a:r>
        </a:p>
        <a:p>
          <a:pPr marL="0" marR="0" lvl="0" indent="0" defTabSz="914400" eaLnBrk="1" fontAlgn="auto" latinLnBrk="0" hangingPunct="1">
            <a:lnSpc>
              <a:spcPct val="130000"/>
            </a:lnSpc>
            <a:spcBef>
              <a:spcPts val="0"/>
            </a:spcBef>
            <a:spcAft>
              <a:spcPts val="0"/>
            </a:spcAft>
            <a:buClrTx/>
            <a:buSzTx/>
            <a:buFontTx/>
            <a:buNone/>
            <a:tabLst/>
            <a:defRPr/>
          </a:pPr>
          <a:r>
            <a:rPr kumimoji="0" lang="de-DE"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SCF: Social Climate Fund</a:t>
          </a:r>
          <a:endParaRPr lang="de-DE" sz="1000" b="0" i="0" u="none" strike="noStrike">
            <a:effectLst/>
            <a:latin typeface="Arial" panose="020B0604020202020204" pitchFamily="34" charset="0"/>
            <a:ea typeface="+mn-ea"/>
            <a:cs typeface="Arial" panose="020B0604020202020204" pitchFamily="34" charset="0"/>
          </a:endParaRPr>
        </a:p>
      </xdr:txBody>
    </xdr:sp>
    <xdr:clientData/>
  </xdr:oneCellAnchor>
  <xdr:twoCellAnchor editAs="oneCell">
    <xdr:from>
      <xdr:col>8</xdr:col>
      <xdr:colOff>543343</xdr:colOff>
      <xdr:row>7</xdr:row>
      <xdr:rowOff>69069</xdr:rowOff>
    </xdr:from>
    <xdr:to>
      <xdr:col>12</xdr:col>
      <xdr:colOff>150707</xdr:colOff>
      <xdr:row>11</xdr:row>
      <xdr:rowOff>72611</xdr:rowOff>
    </xdr:to>
    <xdr:pic>
      <xdr:nvPicPr>
        <xdr:cNvPr id="13" name="Picture 12">
          <a:extLst>
            <a:ext uri="{FF2B5EF4-FFF2-40B4-BE49-F238E27FC236}">
              <a16:creationId xmlns:a16="http://schemas.microsoft.com/office/drawing/2014/main" id="{4A920D2B-EF24-4B21-BD6C-C56B209EB5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652056" y="1652704"/>
          <a:ext cx="2787886" cy="765818"/>
        </a:xfrm>
        <a:prstGeom prst="rect">
          <a:avLst/>
        </a:prstGeom>
      </xdr:spPr>
    </xdr:pic>
    <xdr:clientData/>
  </xdr:twoCellAnchor>
  <xdr:twoCellAnchor>
    <xdr:from>
      <xdr:col>11</xdr:col>
      <xdr:colOff>92435</xdr:colOff>
      <xdr:row>8</xdr:row>
      <xdr:rowOff>236</xdr:rowOff>
    </xdr:from>
    <xdr:to>
      <xdr:col>11</xdr:col>
      <xdr:colOff>391792</xdr:colOff>
      <xdr:row>9</xdr:row>
      <xdr:rowOff>106529</xdr:rowOff>
    </xdr:to>
    <xdr:grpSp>
      <xdr:nvGrpSpPr>
        <xdr:cNvPr id="14" name="Group 13">
          <a:extLst>
            <a:ext uri="{FF2B5EF4-FFF2-40B4-BE49-F238E27FC236}">
              <a16:creationId xmlns:a16="http://schemas.microsoft.com/office/drawing/2014/main" id="{99912FD6-593C-4262-8947-A1633EACA54F}"/>
            </a:ext>
          </a:extLst>
        </xdr:cNvPr>
        <xdr:cNvGrpSpPr/>
      </xdr:nvGrpSpPr>
      <xdr:grpSpPr>
        <a:xfrm>
          <a:off x="7553013" y="1793177"/>
          <a:ext cx="300627" cy="301798"/>
          <a:chOff x="24931914" y="3174093"/>
          <a:chExt cx="299357" cy="298450"/>
        </a:xfrm>
        <a:solidFill>
          <a:schemeClr val="accent1">
            <a:lumMod val="20000"/>
            <a:lumOff val="80000"/>
          </a:schemeClr>
        </a:solidFill>
      </xdr:grpSpPr>
      <xdr:sp macro="" textlink="">
        <xdr:nvSpPr>
          <xdr:cNvPr id="15" name="Oval 14">
            <a:extLst>
              <a:ext uri="{FF2B5EF4-FFF2-40B4-BE49-F238E27FC236}">
                <a16:creationId xmlns:a16="http://schemas.microsoft.com/office/drawing/2014/main" id="{C432AB90-B420-2E6B-4080-DC20804FA8AD}"/>
              </a:ext>
            </a:extLst>
          </xdr:cNvPr>
          <xdr:cNvSpPr/>
        </xdr:nvSpPr>
        <xdr:spPr>
          <a:xfrm>
            <a:off x="24931914" y="3174093"/>
            <a:ext cx="299357" cy="298450"/>
          </a:xfrm>
          <a:prstGeom prst="ellipse">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kern="1200"/>
          </a:p>
        </xdr:txBody>
      </xdr:sp>
      <xdr:sp macro="" textlink="">
        <xdr:nvSpPr>
          <xdr:cNvPr id="16" name="TextBox 15">
            <a:extLst>
              <a:ext uri="{FF2B5EF4-FFF2-40B4-BE49-F238E27FC236}">
                <a16:creationId xmlns:a16="http://schemas.microsoft.com/office/drawing/2014/main" id="{F2D401A1-A039-3CB6-573C-AAB87112AE6A}"/>
              </a:ext>
            </a:extLst>
          </xdr:cNvPr>
          <xdr:cNvSpPr txBox="1"/>
        </xdr:nvSpPr>
        <xdr:spPr>
          <a:xfrm>
            <a:off x="24991181" y="3211285"/>
            <a:ext cx="216907" cy="21600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de-DE" sz="1100" b="1" kern="1200"/>
              <a:t>2.</a:t>
            </a:r>
          </a:p>
        </xdr:txBody>
      </xdr:sp>
    </xdr:grpSp>
    <xdr:clientData/>
  </xdr:twoCellAnchor>
  <xdr:twoCellAnchor>
    <xdr:from>
      <xdr:col>10</xdr:col>
      <xdr:colOff>458288</xdr:colOff>
      <xdr:row>6</xdr:row>
      <xdr:rowOff>59635</xdr:rowOff>
    </xdr:from>
    <xdr:to>
      <xdr:col>10</xdr:col>
      <xdr:colOff>752202</xdr:colOff>
      <xdr:row>7</xdr:row>
      <xdr:rowOff>165928</xdr:rowOff>
    </xdr:to>
    <xdr:grpSp>
      <xdr:nvGrpSpPr>
        <xdr:cNvPr id="17" name="Group 16">
          <a:extLst>
            <a:ext uri="{FF2B5EF4-FFF2-40B4-BE49-F238E27FC236}">
              <a16:creationId xmlns:a16="http://schemas.microsoft.com/office/drawing/2014/main" id="{CB7D20A0-72F1-4518-9315-228A93E9D1C8}"/>
            </a:ext>
          </a:extLst>
        </xdr:cNvPr>
        <xdr:cNvGrpSpPr/>
      </xdr:nvGrpSpPr>
      <xdr:grpSpPr>
        <a:xfrm>
          <a:off x="7129523" y="1466646"/>
          <a:ext cx="295184" cy="295448"/>
          <a:chOff x="24931914" y="3174093"/>
          <a:chExt cx="299357" cy="298450"/>
        </a:xfrm>
        <a:solidFill>
          <a:schemeClr val="accent1">
            <a:lumMod val="20000"/>
            <a:lumOff val="80000"/>
          </a:schemeClr>
        </a:solidFill>
      </xdr:grpSpPr>
      <xdr:sp macro="" textlink="">
        <xdr:nvSpPr>
          <xdr:cNvPr id="18" name="Oval 17">
            <a:extLst>
              <a:ext uri="{FF2B5EF4-FFF2-40B4-BE49-F238E27FC236}">
                <a16:creationId xmlns:a16="http://schemas.microsoft.com/office/drawing/2014/main" id="{74F92ED1-CCAB-F5A3-2EAA-4CE833249D44}"/>
              </a:ext>
            </a:extLst>
          </xdr:cNvPr>
          <xdr:cNvSpPr/>
        </xdr:nvSpPr>
        <xdr:spPr>
          <a:xfrm>
            <a:off x="24931914" y="3174093"/>
            <a:ext cx="299357" cy="298450"/>
          </a:xfrm>
          <a:prstGeom prst="ellipse">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kern="1200"/>
          </a:p>
        </xdr:txBody>
      </xdr:sp>
      <xdr:sp macro="" textlink="">
        <xdr:nvSpPr>
          <xdr:cNvPr id="19" name="TextBox 18">
            <a:extLst>
              <a:ext uri="{FF2B5EF4-FFF2-40B4-BE49-F238E27FC236}">
                <a16:creationId xmlns:a16="http://schemas.microsoft.com/office/drawing/2014/main" id="{54771054-0C18-7A57-CB25-078BBDB77941}"/>
              </a:ext>
            </a:extLst>
          </xdr:cNvPr>
          <xdr:cNvSpPr txBox="1"/>
        </xdr:nvSpPr>
        <xdr:spPr>
          <a:xfrm>
            <a:off x="24991181" y="3211285"/>
            <a:ext cx="216907" cy="21600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de-DE" sz="1100" b="1" kern="1200"/>
              <a:t>1.</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absolute">
    <xdr:from>
      <xdr:col>5</xdr:col>
      <xdr:colOff>422869</xdr:colOff>
      <xdr:row>4</xdr:row>
      <xdr:rowOff>3809</xdr:rowOff>
    </xdr:from>
    <xdr:to>
      <xdr:col>10</xdr:col>
      <xdr:colOff>355408</xdr:colOff>
      <xdr:row>13</xdr:row>
      <xdr:rowOff>0</xdr:rowOff>
    </xdr:to>
    <xdr:graphicFrame macro="">
      <xdr:nvGraphicFramePr>
        <xdr:cNvPr id="4" name="Chart 3">
          <a:extLst>
            <a:ext uri="{FF2B5EF4-FFF2-40B4-BE49-F238E27FC236}">
              <a16:creationId xmlns:a16="http://schemas.microsoft.com/office/drawing/2014/main" id="{0CD03E60-42C5-4133-8EF3-719C88918EC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16</xdr:col>
      <xdr:colOff>88773</xdr:colOff>
      <xdr:row>4</xdr:row>
      <xdr:rowOff>37192</xdr:rowOff>
    </xdr:from>
    <xdr:to>
      <xdr:col>19</xdr:col>
      <xdr:colOff>815622</xdr:colOff>
      <xdr:row>15</xdr:row>
      <xdr:rowOff>152399</xdr:rowOff>
    </xdr:to>
    <xdr:graphicFrame macro="">
      <xdr:nvGraphicFramePr>
        <xdr:cNvPr id="11" name="Chart 10">
          <a:extLst>
            <a:ext uri="{FF2B5EF4-FFF2-40B4-BE49-F238E27FC236}">
              <a16:creationId xmlns:a16="http://schemas.microsoft.com/office/drawing/2014/main" id="{3EB2EAB7-4D40-4C4E-8A3B-4779B336FBB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16</xdr:col>
      <xdr:colOff>16382</xdr:colOff>
      <xdr:row>21</xdr:row>
      <xdr:rowOff>2598</xdr:rowOff>
    </xdr:from>
    <xdr:to>
      <xdr:col>19</xdr:col>
      <xdr:colOff>852618</xdr:colOff>
      <xdr:row>39</xdr:row>
      <xdr:rowOff>111171</xdr:rowOff>
    </xdr:to>
    <xdr:graphicFrame macro="">
      <xdr:nvGraphicFramePr>
        <xdr:cNvPr id="13" name="Chart 12">
          <a:extLst>
            <a:ext uri="{FF2B5EF4-FFF2-40B4-BE49-F238E27FC236}">
              <a16:creationId xmlns:a16="http://schemas.microsoft.com/office/drawing/2014/main" id="{71070BF6-3C9C-4182-A792-C3E3C3D1276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11</xdr:col>
      <xdr:colOff>427272</xdr:colOff>
      <xdr:row>4</xdr:row>
      <xdr:rowOff>37192</xdr:rowOff>
    </xdr:from>
    <xdr:to>
      <xdr:col>15</xdr:col>
      <xdr:colOff>700842</xdr:colOff>
      <xdr:row>15</xdr:row>
      <xdr:rowOff>152399</xdr:rowOff>
    </xdr:to>
    <xdr:graphicFrame macro="">
      <xdr:nvGraphicFramePr>
        <xdr:cNvPr id="14" name="Chart 13">
          <a:extLst>
            <a:ext uri="{FF2B5EF4-FFF2-40B4-BE49-F238E27FC236}">
              <a16:creationId xmlns:a16="http://schemas.microsoft.com/office/drawing/2014/main" id="{5CF12F95-A795-44AB-BD7C-931AA60FD1D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11</xdr:col>
      <xdr:colOff>427907</xdr:colOff>
      <xdr:row>21</xdr:row>
      <xdr:rowOff>2598</xdr:rowOff>
    </xdr:from>
    <xdr:to>
      <xdr:col>15</xdr:col>
      <xdr:colOff>733862</xdr:colOff>
      <xdr:row>39</xdr:row>
      <xdr:rowOff>37463</xdr:rowOff>
    </xdr:to>
    <xdr:graphicFrame macro="">
      <xdr:nvGraphicFramePr>
        <xdr:cNvPr id="19" name="Chart 18">
          <a:extLst>
            <a:ext uri="{FF2B5EF4-FFF2-40B4-BE49-F238E27FC236}">
              <a16:creationId xmlns:a16="http://schemas.microsoft.com/office/drawing/2014/main" id="{304225E1-D413-4B32-9521-2A9C4DC24A0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8964</xdr:colOff>
      <xdr:row>4</xdr:row>
      <xdr:rowOff>394445</xdr:rowOff>
    </xdr:from>
    <xdr:to>
      <xdr:col>5</xdr:col>
      <xdr:colOff>170964</xdr:colOff>
      <xdr:row>4</xdr:row>
      <xdr:rowOff>556445</xdr:rowOff>
    </xdr:to>
    <xdr:grpSp>
      <xdr:nvGrpSpPr>
        <xdr:cNvPr id="9" name="Group 8">
          <a:extLst>
            <a:ext uri="{FF2B5EF4-FFF2-40B4-BE49-F238E27FC236}">
              <a16:creationId xmlns:a16="http://schemas.microsoft.com/office/drawing/2014/main" id="{545BDBB1-F915-E5CA-9ED4-18B9D7C013BF}"/>
            </a:ext>
          </a:extLst>
        </xdr:cNvPr>
        <xdr:cNvGrpSpPr/>
      </xdr:nvGrpSpPr>
      <xdr:grpSpPr>
        <a:xfrm>
          <a:off x="5042870" y="1206199"/>
          <a:ext cx="160730" cy="167080"/>
          <a:chOff x="5163670" y="1223680"/>
          <a:chExt cx="162000" cy="162000"/>
        </a:xfrm>
      </xdr:grpSpPr>
      <xdr:sp macro="" textlink="">
        <xdr:nvSpPr>
          <xdr:cNvPr id="2" name="$C$12x">
            <a:extLst>
              <a:ext uri="{FF2B5EF4-FFF2-40B4-BE49-F238E27FC236}">
                <a16:creationId xmlns:a16="http://schemas.microsoft.com/office/drawing/2014/main" id="{0C2BCD4F-F80A-4D97-A526-3B0B5BD38902}"/>
              </a:ext>
            </a:extLst>
          </xdr:cNvPr>
          <xdr:cNvSpPr/>
        </xdr:nvSpPr>
        <xdr:spPr>
          <a:xfrm>
            <a:off x="5163670" y="1223680"/>
            <a:ext cx="162000" cy="162000"/>
          </a:xfrm>
          <a:prstGeom prst="rect">
            <a:avLst/>
          </a:prstGeom>
          <a:solidFill>
            <a:schemeClr val="bg1">
              <a:lumMod val="90000"/>
            </a:schemeClr>
          </a:solidFill>
          <a:ln w="2540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3" name="$C$12">
            <a:extLst>
              <a:ext uri="{FF2B5EF4-FFF2-40B4-BE49-F238E27FC236}">
                <a16:creationId xmlns:a16="http://schemas.microsoft.com/office/drawing/2014/main" id="{23158DF6-920C-432F-8554-429E8AFF7D89}"/>
              </a:ext>
            </a:extLst>
          </xdr:cNvPr>
          <xdr:cNvSpPr/>
        </xdr:nvSpPr>
        <xdr:spPr>
          <a:xfrm rot="10800000">
            <a:off x="5217314" y="1289881"/>
            <a:ext cx="36000" cy="36000"/>
          </a:xfrm>
          <a:prstGeom prst="triangle">
            <a:avLst/>
          </a:prstGeom>
          <a:solidFill>
            <a:schemeClr val="accent1"/>
          </a:solidFill>
          <a:ln w="25400" cap="flat" cmpd="sng" algn="ctr">
            <a:solidFill>
              <a:schemeClr val="accent1"/>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editAs="oneCell">
    <xdr:from>
      <xdr:col>23</xdr:col>
      <xdr:colOff>572348</xdr:colOff>
      <xdr:row>9</xdr:row>
      <xdr:rowOff>99911</xdr:rowOff>
    </xdr:from>
    <xdr:to>
      <xdr:col>27</xdr:col>
      <xdr:colOff>415815</xdr:colOff>
      <xdr:row>13</xdr:row>
      <xdr:rowOff>75011</xdr:rowOff>
    </xdr:to>
    <xdr:pic>
      <xdr:nvPicPr>
        <xdr:cNvPr id="6" name="Picture 5">
          <a:extLst>
            <a:ext uri="{FF2B5EF4-FFF2-40B4-BE49-F238E27FC236}">
              <a16:creationId xmlns:a16="http://schemas.microsoft.com/office/drawing/2014/main" id="{737C6056-05E0-B3EC-3A44-0B15D9A1D12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4149524" y="1765852"/>
          <a:ext cx="3655707" cy="946275"/>
        </a:xfrm>
        <a:prstGeom prst="rect">
          <a:avLst/>
        </a:prstGeom>
      </xdr:spPr>
    </xdr:pic>
    <xdr:clientData/>
  </xdr:twoCellAnchor>
  <xdr:twoCellAnchor>
    <xdr:from>
      <xdr:col>26</xdr:col>
      <xdr:colOff>555513</xdr:colOff>
      <xdr:row>9</xdr:row>
      <xdr:rowOff>322286</xdr:rowOff>
    </xdr:from>
    <xdr:to>
      <xdr:col>27</xdr:col>
      <xdr:colOff>83073</xdr:colOff>
      <xdr:row>12</xdr:row>
      <xdr:rowOff>63506</xdr:rowOff>
    </xdr:to>
    <xdr:sp macro="" textlink="">
      <xdr:nvSpPr>
        <xdr:cNvPr id="7" name="Rectangle 6">
          <a:extLst>
            <a:ext uri="{FF2B5EF4-FFF2-40B4-BE49-F238E27FC236}">
              <a16:creationId xmlns:a16="http://schemas.microsoft.com/office/drawing/2014/main" id="{6C5CBB00-F465-F60A-F5FF-3246D2020A87}"/>
            </a:ext>
          </a:extLst>
        </xdr:cNvPr>
        <xdr:cNvSpPr/>
      </xdr:nvSpPr>
      <xdr:spPr>
        <a:xfrm>
          <a:off x="27001395" y="1988227"/>
          <a:ext cx="483796" cy="518161"/>
        </a:xfrm>
        <a:prstGeom prst="rect">
          <a:avLst/>
        </a:prstGeom>
        <a:noFill/>
        <a:ln w="12700">
          <a:solidFill>
            <a:srgbClr val="FF0000"/>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kern="1200"/>
        </a:p>
      </xdr:txBody>
    </xdr:sp>
    <xdr:clientData/>
  </xdr:twoCellAnchor>
  <xdr:twoCellAnchor>
    <xdr:from>
      <xdr:col>26</xdr:col>
      <xdr:colOff>313125</xdr:colOff>
      <xdr:row>9</xdr:row>
      <xdr:rowOff>362382</xdr:rowOff>
    </xdr:from>
    <xdr:to>
      <xdr:col>26</xdr:col>
      <xdr:colOff>612482</xdr:colOff>
      <xdr:row>11</xdr:row>
      <xdr:rowOff>78127</xdr:rowOff>
    </xdr:to>
    <xdr:grpSp>
      <xdr:nvGrpSpPr>
        <xdr:cNvPr id="20" name="Group 19">
          <a:extLst>
            <a:ext uri="{FF2B5EF4-FFF2-40B4-BE49-F238E27FC236}">
              <a16:creationId xmlns:a16="http://schemas.microsoft.com/office/drawing/2014/main" id="{703EE7F1-72E2-0081-1BB4-4E19697DBE2A}"/>
            </a:ext>
          </a:extLst>
        </xdr:cNvPr>
        <xdr:cNvGrpSpPr/>
      </xdr:nvGrpSpPr>
      <xdr:grpSpPr>
        <a:xfrm>
          <a:off x="22731090" y="2531393"/>
          <a:ext cx="300627" cy="295910"/>
          <a:chOff x="24931914" y="3174093"/>
          <a:chExt cx="299357" cy="298450"/>
        </a:xfrm>
      </xdr:grpSpPr>
      <xdr:sp macro="" textlink="">
        <xdr:nvSpPr>
          <xdr:cNvPr id="15" name="Oval 14">
            <a:extLst>
              <a:ext uri="{FF2B5EF4-FFF2-40B4-BE49-F238E27FC236}">
                <a16:creationId xmlns:a16="http://schemas.microsoft.com/office/drawing/2014/main" id="{ED22A2C2-A3B0-6905-1FA7-F8FEB4B83EEA}"/>
              </a:ext>
            </a:extLst>
          </xdr:cNvPr>
          <xdr:cNvSpPr/>
        </xdr:nvSpPr>
        <xdr:spPr>
          <a:xfrm>
            <a:off x="24931914" y="3174093"/>
            <a:ext cx="299357" cy="298450"/>
          </a:xfrm>
          <a:prstGeom prst="ellipse">
            <a:avLst/>
          </a:prstGeom>
          <a:solidFill>
            <a:srgbClr val="E1DC0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kern="1200"/>
          </a:p>
        </xdr:txBody>
      </xdr:sp>
      <xdr:sp macro="" textlink="">
        <xdr:nvSpPr>
          <xdr:cNvPr id="17" name="TextBox 16">
            <a:extLst>
              <a:ext uri="{FF2B5EF4-FFF2-40B4-BE49-F238E27FC236}">
                <a16:creationId xmlns:a16="http://schemas.microsoft.com/office/drawing/2014/main" id="{EF7F4B17-61C7-4F05-ADE0-6ED062C3E7F2}"/>
              </a:ext>
            </a:extLst>
          </xdr:cNvPr>
          <xdr:cNvSpPr txBox="1"/>
        </xdr:nvSpPr>
        <xdr:spPr>
          <a:xfrm>
            <a:off x="24991181" y="3211285"/>
            <a:ext cx="216907" cy="216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de-DE" sz="1100" b="1" kern="1200"/>
              <a:t>2.</a:t>
            </a:r>
          </a:p>
        </xdr:txBody>
      </xdr:sp>
    </xdr:grpSp>
    <xdr:clientData/>
  </xdr:twoCellAnchor>
  <xdr:twoCellAnchor>
    <xdr:from>
      <xdr:col>25</xdr:col>
      <xdr:colOff>661467</xdr:colOff>
      <xdr:row>8</xdr:row>
      <xdr:rowOff>191947</xdr:rowOff>
    </xdr:from>
    <xdr:to>
      <xdr:col>26</xdr:col>
      <xdr:colOff>51867</xdr:colOff>
      <xdr:row>9</xdr:row>
      <xdr:rowOff>296161</xdr:rowOff>
    </xdr:to>
    <xdr:grpSp>
      <xdr:nvGrpSpPr>
        <xdr:cNvPr id="21" name="Group 20">
          <a:extLst>
            <a:ext uri="{FF2B5EF4-FFF2-40B4-BE49-F238E27FC236}">
              <a16:creationId xmlns:a16="http://schemas.microsoft.com/office/drawing/2014/main" id="{6CEFF97F-F2C7-4972-A5CC-B2774CE1C3F2}"/>
            </a:ext>
          </a:extLst>
        </xdr:cNvPr>
        <xdr:cNvGrpSpPr/>
      </xdr:nvGrpSpPr>
      <xdr:grpSpPr>
        <a:xfrm>
          <a:off x="22166751" y="2164182"/>
          <a:ext cx="301811" cy="299720"/>
          <a:chOff x="24931914" y="3174093"/>
          <a:chExt cx="299357" cy="298450"/>
        </a:xfrm>
      </xdr:grpSpPr>
      <xdr:sp macro="" textlink="">
        <xdr:nvSpPr>
          <xdr:cNvPr id="22" name="Oval 21">
            <a:extLst>
              <a:ext uri="{FF2B5EF4-FFF2-40B4-BE49-F238E27FC236}">
                <a16:creationId xmlns:a16="http://schemas.microsoft.com/office/drawing/2014/main" id="{C7409D73-96FB-4F05-D704-CAB4696B43BB}"/>
              </a:ext>
            </a:extLst>
          </xdr:cNvPr>
          <xdr:cNvSpPr/>
        </xdr:nvSpPr>
        <xdr:spPr>
          <a:xfrm>
            <a:off x="24931914" y="3174093"/>
            <a:ext cx="299357" cy="298450"/>
          </a:xfrm>
          <a:prstGeom prst="ellipse">
            <a:avLst/>
          </a:prstGeom>
          <a:solidFill>
            <a:srgbClr val="E1DC0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kern="1200"/>
          </a:p>
        </xdr:txBody>
      </xdr:sp>
      <xdr:sp macro="" textlink="">
        <xdr:nvSpPr>
          <xdr:cNvPr id="23" name="TextBox 22">
            <a:extLst>
              <a:ext uri="{FF2B5EF4-FFF2-40B4-BE49-F238E27FC236}">
                <a16:creationId xmlns:a16="http://schemas.microsoft.com/office/drawing/2014/main" id="{79FB28C1-F78E-3B37-D2E9-D2705929F1CD}"/>
              </a:ext>
            </a:extLst>
          </xdr:cNvPr>
          <xdr:cNvSpPr txBox="1"/>
        </xdr:nvSpPr>
        <xdr:spPr>
          <a:xfrm>
            <a:off x="24991181" y="3211285"/>
            <a:ext cx="216907" cy="216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de-DE" sz="1100" b="1" kern="1200"/>
              <a:t>1.</a:t>
            </a:r>
          </a:p>
        </xdr:txBody>
      </xdr:sp>
    </xdr:grpSp>
    <xdr:clientData/>
  </xdr:twoCellAnchor>
  <xdr:oneCellAnchor>
    <xdr:from>
      <xdr:col>20</xdr:col>
      <xdr:colOff>112411</xdr:colOff>
      <xdr:row>1</xdr:row>
      <xdr:rowOff>1496</xdr:rowOff>
    </xdr:from>
    <xdr:ext cx="1902503" cy="7890061"/>
    <mc:AlternateContent xmlns:mc="http://schemas.openxmlformats.org/markup-compatibility/2006" xmlns:a14="http://schemas.microsoft.com/office/drawing/2010/main">
      <mc:Choice Requires="a14">
        <xdr:graphicFrame macro="">
          <xdr:nvGraphicFramePr>
            <xdr:cNvPr id="81" name="Country 1">
              <a:extLst>
                <a:ext uri="{FF2B5EF4-FFF2-40B4-BE49-F238E27FC236}">
                  <a16:creationId xmlns:a16="http://schemas.microsoft.com/office/drawing/2014/main" id="{31DAF45B-64F1-43CF-8C1C-03B07F2AF990}"/>
                </a:ext>
              </a:extLst>
            </xdr:cNvPr>
            <xdr:cNvGraphicFramePr/>
          </xdr:nvGraphicFramePr>
          <xdr:xfrm>
            <a:off x="0" y="0"/>
            <a:ext cx="0" cy="0"/>
          </xdr:xfrm>
          <a:graphic>
            <a:graphicData uri="http://schemas.microsoft.com/office/drawing/2010/slicer">
              <sle:slicer xmlns:sle="http://schemas.microsoft.com/office/drawing/2010/slicer" name="Country 1"/>
            </a:graphicData>
          </a:graphic>
        </xdr:graphicFrame>
      </mc:Choice>
      <mc:Fallback xmlns="">
        <xdr:sp macro="" textlink="">
          <xdr:nvSpPr>
            <xdr:cNvPr id="0" name=""/>
            <xdr:cNvSpPr>
              <a:spLocks noTextEdit="1"/>
            </xdr:cNvSpPr>
          </xdr:nvSpPr>
          <xdr:spPr>
            <a:xfrm>
              <a:off x="17033293" y="382496"/>
              <a:ext cx="1902503" cy="7890061"/>
            </a:xfrm>
            <a:prstGeom prst="rect">
              <a:avLst/>
            </a:prstGeom>
            <a:solidFill>
              <a:prstClr val="white"/>
            </a:solidFill>
            <a:ln w="1">
              <a:solidFill>
                <a:prstClr val="green"/>
              </a:solidFill>
            </a:ln>
          </xdr:spPr>
          <xdr:txBody>
            <a:bodyPr vertOverflow="clip" horzOverflow="clip"/>
            <a:lstStyle/>
            <a:p>
              <a:r>
                <a:rPr lang="de-D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oneCellAnchor>
  <xdr:twoCellAnchor>
    <xdr:from>
      <xdr:col>3</xdr:col>
      <xdr:colOff>15688</xdr:colOff>
      <xdr:row>2</xdr:row>
      <xdr:rowOff>42579</xdr:rowOff>
    </xdr:from>
    <xdr:to>
      <xdr:col>3</xdr:col>
      <xdr:colOff>177688</xdr:colOff>
      <xdr:row>3</xdr:row>
      <xdr:rowOff>2873</xdr:rowOff>
    </xdr:to>
    <xdr:grpSp>
      <xdr:nvGrpSpPr>
        <xdr:cNvPr id="10" name="Group 9">
          <a:extLst>
            <a:ext uri="{FF2B5EF4-FFF2-40B4-BE49-F238E27FC236}">
              <a16:creationId xmlns:a16="http://schemas.microsoft.com/office/drawing/2014/main" id="{79E89E45-8010-1BED-0645-920CCFE6F2E3}"/>
            </a:ext>
          </a:extLst>
        </xdr:cNvPr>
        <xdr:cNvGrpSpPr/>
      </xdr:nvGrpSpPr>
      <xdr:grpSpPr>
        <a:xfrm>
          <a:off x="2724972" y="541838"/>
          <a:ext cx="167080" cy="155800"/>
          <a:chOff x="5163670" y="1223680"/>
          <a:chExt cx="162000" cy="162000"/>
        </a:xfrm>
      </xdr:grpSpPr>
      <xdr:sp macro="" textlink="">
        <xdr:nvSpPr>
          <xdr:cNvPr id="12" name="$C$12x">
            <a:extLst>
              <a:ext uri="{FF2B5EF4-FFF2-40B4-BE49-F238E27FC236}">
                <a16:creationId xmlns:a16="http://schemas.microsoft.com/office/drawing/2014/main" id="{E9327122-FAD6-7D2B-5CC3-D6BEE68A6015}"/>
              </a:ext>
            </a:extLst>
          </xdr:cNvPr>
          <xdr:cNvSpPr/>
        </xdr:nvSpPr>
        <xdr:spPr>
          <a:xfrm>
            <a:off x="5163670" y="1223680"/>
            <a:ext cx="162000" cy="162000"/>
          </a:xfrm>
          <a:prstGeom prst="rect">
            <a:avLst/>
          </a:prstGeom>
          <a:solidFill>
            <a:schemeClr val="bg1">
              <a:lumMod val="90000"/>
            </a:schemeClr>
          </a:solidFill>
          <a:ln w="2540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6" name="$C$12">
            <a:extLst>
              <a:ext uri="{FF2B5EF4-FFF2-40B4-BE49-F238E27FC236}">
                <a16:creationId xmlns:a16="http://schemas.microsoft.com/office/drawing/2014/main" id="{B545BA0A-A002-0F65-9083-11FFD500FCB9}"/>
              </a:ext>
            </a:extLst>
          </xdr:cNvPr>
          <xdr:cNvSpPr/>
        </xdr:nvSpPr>
        <xdr:spPr>
          <a:xfrm rot="10800000">
            <a:off x="5217314" y="1289881"/>
            <a:ext cx="36000" cy="36000"/>
          </a:xfrm>
          <a:prstGeom prst="triangle">
            <a:avLst/>
          </a:prstGeom>
          <a:solidFill>
            <a:schemeClr val="accent1"/>
          </a:solidFill>
          <a:ln w="25400" cap="flat" cmpd="sng" algn="ctr">
            <a:solidFill>
              <a:schemeClr val="accent1"/>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editAs="oneCell">
    <xdr:from>
      <xdr:col>17</xdr:col>
      <xdr:colOff>277682</xdr:colOff>
      <xdr:row>16</xdr:row>
      <xdr:rowOff>133202</xdr:rowOff>
    </xdr:from>
    <xdr:to>
      <xdr:col>19</xdr:col>
      <xdr:colOff>92038</xdr:colOff>
      <xdr:row>19</xdr:row>
      <xdr:rowOff>160584</xdr:rowOff>
    </xdr:to>
    <xdr:pic>
      <xdr:nvPicPr>
        <xdr:cNvPr id="8" name="Picture 7">
          <a:extLst>
            <a:ext uri="{FF2B5EF4-FFF2-40B4-BE49-F238E27FC236}">
              <a16:creationId xmlns:a16="http://schemas.microsoft.com/office/drawing/2014/main" id="{AEED5329-9280-2E69-FBC1-5A7E608F9720}"/>
            </a:ext>
          </a:extLst>
        </xdr:cNvPr>
        <xdr:cNvPicPr>
          <a:picLocks noChangeAspect="1"/>
        </xdr:cNvPicPr>
      </xdr:nvPicPr>
      <xdr:blipFill>
        <a:blip xmlns:r="http://schemas.openxmlformats.org/officeDocument/2006/relationships" r:embed="rId7"/>
        <a:stretch>
          <a:fillRect/>
        </a:stretch>
      </xdr:blipFill>
      <xdr:spPr>
        <a:xfrm>
          <a:off x="14494211" y="3614496"/>
          <a:ext cx="1639720" cy="611358"/>
        </a:xfrm>
        <a:prstGeom prst="rect">
          <a:avLst/>
        </a:prstGeom>
      </xdr:spPr>
    </xdr:pic>
    <xdr:clientData/>
  </xdr:twoCellAnchor>
  <xdr:twoCellAnchor editAs="oneCell">
    <xdr:from>
      <xdr:col>13</xdr:col>
      <xdr:colOff>6201</xdr:colOff>
      <xdr:row>15</xdr:row>
      <xdr:rowOff>164354</xdr:rowOff>
    </xdr:from>
    <xdr:to>
      <xdr:col>15</xdr:col>
      <xdr:colOff>250339</xdr:colOff>
      <xdr:row>19</xdr:row>
      <xdr:rowOff>154987</xdr:rowOff>
    </xdr:to>
    <xdr:pic>
      <xdr:nvPicPr>
        <xdr:cNvPr id="25" name="Picture 24">
          <a:extLst>
            <a:ext uri="{FF2B5EF4-FFF2-40B4-BE49-F238E27FC236}">
              <a16:creationId xmlns:a16="http://schemas.microsoft.com/office/drawing/2014/main" id="{A8DB61E7-80FE-85A3-4314-209C8DD603F0}"/>
            </a:ext>
          </a:extLst>
        </xdr:cNvPr>
        <xdr:cNvPicPr>
          <a:picLocks noChangeAspect="1"/>
        </xdr:cNvPicPr>
      </xdr:nvPicPr>
      <xdr:blipFill>
        <a:blip xmlns:r="http://schemas.openxmlformats.org/officeDocument/2006/relationships" r:embed="rId8"/>
        <a:stretch>
          <a:fillRect/>
        </a:stretch>
      </xdr:blipFill>
      <xdr:spPr>
        <a:xfrm>
          <a:off x="10577083" y="3451413"/>
          <a:ext cx="2064422" cy="767574"/>
        </a:xfrm>
        <a:prstGeom prst="rect">
          <a:avLst/>
        </a:prstGeom>
      </xdr:spPr>
    </xdr:pic>
    <xdr:clientData/>
  </xdr:twoCellAnchor>
</xdr:wsDr>
</file>

<file path=xl/drawings/drawing4.xml><?xml version="1.0" encoding="utf-8"?>
<c:userShapes xmlns:c="http://schemas.openxmlformats.org/drawingml/2006/chart">
  <cdr:relSizeAnchor xmlns:cdr="http://schemas.openxmlformats.org/drawingml/2006/chartDrawing">
    <cdr:from>
      <cdr:x>0.43594</cdr:x>
      <cdr:y>0.09914</cdr:y>
    </cdr:from>
    <cdr:to>
      <cdr:x>0.57435</cdr:x>
      <cdr:y>0.17253</cdr:y>
    </cdr:to>
    <cdr:sp macro="" textlink="Tables!$B$14">
      <cdr:nvSpPr>
        <cdr:cNvPr id="2" name="TextBox 1">
          <a:extLst xmlns:a="http://schemas.openxmlformats.org/drawingml/2006/main">
            <a:ext uri="{FF2B5EF4-FFF2-40B4-BE49-F238E27FC236}">
              <a16:creationId xmlns:a16="http://schemas.microsoft.com/office/drawing/2014/main" id="{4D93400D-3BA5-6923-4760-C5C8ED78B8EA}"/>
            </a:ext>
          </a:extLst>
        </cdr:cNvPr>
        <cdr:cNvSpPr txBox="1"/>
      </cdr:nvSpPr>
      <cdr:spPr>
        <a:xfrm xmlns:a="http://schemas.openxmlformats.org/drawingml/2006/main">
          <a:off x="2123145" y="281653"/>
          <a:ext cx="674100" cy="20850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61D786D-9063-4F60-87B8-737058EFEAC0}" type="TxLink">
            <a:rPr lang="en-US" sz="1100" b="1" i="0" u="none" strike="noStrike" kern="1200">
              <a:solidFill>
                <a:schemeClr val="accent1">
                  <a:lumMod val="60000"/>
                  <a:lumOff val="40000"/>
                </a:schemeClr>
              </a:solidFill>
              <a:latin typeface="Flexo"/>
            </a:rPr>
            <a:pPr/>
            <a:t>Austria</a:t>
          </a:fld>
          <a:endParaRPr lang="de-DE" sz="1100" b="1" kern="1200">
            <a:solidFill>
              <a:schemeClr val="accent1">
                <a:lumMod val="60000"/>
                <a:lumOff val="40000"/>
              </a:schemeClr>
            </a:solidFill>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0.41596</cdr:x>
      <cdr:y>0.12749</cdr:y>
    </cdr:from>
    <cdr:to>
      <cdr:x>0.66639</cdr:x>
      <cdr:y>0.20567</cdr:y>
    </cdr:to>
    <cdr:sp macro="" textlink="">
      <cdr:nvSpPr>
        <cdr:cNvPr id="2" name="TextBox 1">
          <a:extLst xmlns:a="http://schemas.openxmlformats.org/drawingml/2006/main">
            <a:ext uri="{FF2B5EF4-FFF2-40B4-BE49-F238E27FC236}">
              <a16:creationId xmlns:a16="http://schemas.microsoft.com/office/drawing/2014/main" id="{AA3DB7AA-92B3-6B3D-337F-C6861BCBBD27}"/>
            </a:ext>
          </a:extLst>
        </cdr:cNvPr>
        <cdr:cNvSpPr txBox="1"/>
      </cdr:nvSpPr>
      <cdr:spPr>
        <a:xfrm xmlns:a="http://schemas.openxmlformats.org/drawingml/2006/main">
          <a:off x="2696427" y="450185"/>
          <a:ext cx="1623391" cy="27608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DE" sz="1100" kern="1200"/>
        </a:p>
      </cdr:txBody>
    </cdr:sp>
  </cdr:relSizeAnchor>
  <cdr:relSizeAnchor xmlns:cdr="http://schemas.openxmlformats.org/drawingml/2006/chartDrawing">
    <cdr:from>
      <cdr:x>0.3393</cdr:x>
      <cdr:y>0.12749</cdr:y>
    </cdr:from>
    <cdr:to>
      <cdr:x>0.61528</cdr:x>
      <cdr:y>0.23695</cdr:y>
    </cdr:to>
    <cdr:sp macro="" textlink="">
      <cdr:nvSpPr>
        <cdr:cNvPr id="4" name="TextBox 3">
          <a:extLst xmlns:a="http://schemas.openxmlformats.org/drawingml/2006/main">
            <a:ext uri="{FF2B5EF4-FFF2-40B4-BE49-F238E27FC236}">
              <a16:creationId xmlns:a16="http://schemas.microsoft.com/office/drawing/2014/main" id="{7EFD2625-D9BE-37F7-C73C-CF65F4CD0F2A}"/>
            </a:ext>
          </a:extLst>
        </cdr:cNvPr>
        <cdr:cNvSpPr txBox="1"/>
      </cdr:nvSpPr>
      <cdr:spPr>
        <a:xfrm xmlns:a="http://schemas.openxmlformats.org/drawingml/2006/main">
          <a:off x="2199471" y="450185"/>
          <a:ext cx="1789044" cy="38652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DE" sz="1100" kern="1200"/>
        </a:p>
      </cdr:txBody>
    </cdr:sp>
  </cdr:relSizeAnchor>
  <cdr:relSizeAnchor xmlns:cdr="http://schemas.openxmlformats.org/drawingml/2006/chartDrawing">
    <cdr:from>
      <cdr:x>0.43105</cdr:x>
      <cdr:y>0.08288</cdr:y>
    </cdr:from>
    <cdr:to>
      <cdr:x>0.6172</cdr:x>
      <cdr:y>0.16107</cdr:y>
    </cdr:to>
    <cdr:sp macro="" textlink="Tables!$B$27">
      <cdr:nvSpPr>
        <cdr:cNvPr id="5" name="TextBox 4">
          <a:extLst xmlns:a="http://schemas.openxmlformats.org/drawingml/2006/main">
            <a:ext uri="{FF2B5EF4-FFF2-40B4-BE49-F238E27FC236}">
              <a16:creationId xmlns:a16="http://schemas.microsoft.com/office/drawing/2014/main" id="{2BCD4225-A34D-D8BA-9553-7F40C3FC1FB1}"/>
            </a:ext>
          </a:extLst>
        </cdr:cNvPr>
        <cdr:cNvSpPr txBox="1"/>
      </cdr:nvSpPr>
      <cdr:spPr>
        <a:xfrm xmlns:a="http://schemas.openxmlformats.org/drawingml/2006/main">
          <a:off x="1545750" y="320313"/>
          <a:ext cx="667535" cy="30218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fld id="{859AA3BD-32DB-4C6A-BAD5-16235F6CE55C}" type="TxLink">
            <a:rPr lang="en-US" sz="1100" b="1" i="0" u="none" strike="noStrike" kern="1200">
              <a:solidFill>
                <a:schemeClr val="accent1">
                  <a:lumMod val="60000"/>
                  <a:lumOff val="40000"/>
                </a:schemeClr>
              </a:solidFill>
              <a:latin typeface="Flexo"/>
            </a:rPr>
            <a:pPr algn="ctr"/>
            <a:t>Austria</a:t>
          </a:fld>
          <a:endParaRPr lang="de-DE" sz="1100" b="1" kern="1200">
            <a:solidFill>
              <a:schemeClr val="accent1">
                <a:lumMod val="60000"/>
                <a:lumOff val="40000"/>
              </a:schemeClr>
            </a:solidFill>
          </a:endParaRPr>
        </a:p>
      </cdr:txBody>
    </cdr:sp>
  </cdr:relSizeAnchor>
  <cdr:relSizeAnchor xmlns:cdr="http://schemas.openxmlformats.org/drawingml/2006/chartDrawing">
    <cdr:from>
      <cdr:x>0.20847</cdr:x>
      <cdr:y>0.86457</cdr:y>
    </cdr:from>
    <cdr:to>
      <cdr:x>0.33275</cdr:x>
      <cdr:y>0.91428</cdr:y>
    </cdr:to>
    <cdr:sp macro="" textlink="Dashboard!$E$26">
      <cdr:nvSpPr>
        <cdr:cNvPr id="3" name="TextBox 1">
          <a:extLst xmlns:a="http://schemas.openxmlformats.org/drawingml/2006/main">
            <a:ext uri="{FF2B5EF4-FFF2-40B4-BE49-F238E27FC236}">
              <a16:creationId xmlns:a16="http://schemas.microsoft.com/office/drawing/2014/main" id="{080589B9-DB2A-BCE4-1683-ED7854935C3C}"/>
            </a:ext>
          </a:extLst>
        </cdr:cNvPr>
        <cdr:cNvSpPr txBox="1"/>
      </cdr:nvSpPr>
      <cdr:spPr>
        <a:xfrm xmlns:a="http://schemas.openxmlformats.org/drawingml/2006/main">
          <a:off x="738633" y="3259162"/>
          <a:ext cx="440328" cy="1873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1206D11-9DB9-4489-A809-6E31D5D544FA}" type="TxLink">
            <a:rPr lang="en-US" sz="900" b="0" i="0" u="none" strike="noStrike" kern="1200">
              <a:solidFill>
                <a:schemeClr val="tx1">
                  <a:lumMod val="50000"/>
                  <a:lumOff val="50000"/>
                </a:schemeClr>
              </a:solidFill>
              <a:latin typeface="Flexo"/>
            </a:rPr>
            <a:pPr algn="ctr"/>
            <a:t>50%</a:t>
          </a:fld>
          <a:endParaRPr lang="en-US" sz="600" b="0" kern="1200">
            <a:solidFill>
              <a:schemeClr val="tx1">
                <a:lumMod val="50000"/>
                <a:lumOff val="50000"/>
              </a:schemeClr>
            </a:solidFill>
          </a:endParaRPr>
        </a:p>
      </cdr:txBody>
    </cdr:sp>
  </cdr:relSizeAnchor>
  <cdr:relSizeAnchor xmlns:cdr="http://schemas.openxmlformats.org/drawingml/2006/chartDrawing">
    <cdr:from>
      <cdr:x>0.20861</cdr:x>
      <cdr:y>0.90047</cdr:y>
    </cdr:from>
    <cdr:to>
      <cdr:x>0.33289</cdr:x>
      <cdr:y>0.95019</cdr:y>
    </cdr:to>
    <cdr:sp macro="" textlink="Dashboard!$E$26">
      <cdr:nvSpPr>
        <cdr:cNvPr id="6" name="TextBox 1">
          <a:extLst xmlns:a="http://schemas.openxmlformats.org/drawingml/2006/main">
            <a:ext uri="{FF2B5EF4-FFF2-40B4-BE49-F238E27FC236}">
              <a16:creationId xmlns:a16="http://schemas.microsoft.com/office/drawing/2014/main" id="{3983B4DA-FB3C-C006-F698-2CA9EFBFC0BA}"/>
            </a:ext>
          </a:extLst>
        </cdr:cNvPr>
        <cdr:cNvSpPr txBox="1"/>
      </cdr:nvSpPr>
      <cdr:spPr>
        <a:xfrm xmlns:a="http://schemas.openxmlformats.org/drawingml/2006/main">
          <a:off x="747925" y="3528577"/>
          <a:ext cx="445573" cy="1947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1206D11-9DB9-4489-A809-6E31D5D544FA}" type="TxLink">
            <a:rPr lang="en-US" sz="900" b="0" i="0" u="none" strike="noStrike" kern="1200">
              <a:solidFill>
                <a:schemeClr val="tx1">
                  <a:lumMod val="50000"/>
                  <a:lumOff val="50000"/>
                </a:schemeClr>
              </a:solidFill>
              <a:latin typeface="Flexo"/>
            </a:rPr>
            <a:pPr algn="ctr"/>
            <a:t>50%</a:t>
          </a:fld>
          <a:endParaRPr lang="en-US" sz="600" b="0" kern="1200">
            <a:solidFill>
              <a:schemeClr val="tx1">
                <a:lumMod val="50000"/>
                <a:lumOff val="50000"/>
              </a:schemeClr>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0.4488</cdr:x>
      <cdr:y>0.0939</cdr:y>
    </cdr:from>
    <cdr:to>
      <cdr:x>0.6488</cdr:x>
      <cdr:y>0.16757</cdr:y>
    </cdr:to>
    <cdr:sp macro="" textlink="Tables!$B$14">
      <cdr:nvSpPr>
        <cdr:cNvPr id="3" name="TextBox 2">
          <a:extLst xmlns:a="http://schemas.openxmlformats.org/drawingml/2006/main">
            <a:ext uri="{FF2B5EF4-FFF2-40B4-BE49-F238E27FC236}">
              <a16:creationId xmlns:a16="http://schemas.microsoft.com/office/drawing/2014/main" id="{3288F633-4399-E30E-2920-CEDF2B0FD015}"/>
            </a:ext>
          </a:extLst>
        </cdr:cNvPr>
        <cdr:cNvSpPr txBox="1"/>
      </cdr:nvSpPr>
      <cdr:spPr>
        <a:xfrm xmlns:a="http://schemas.openxmlformats.org/drawingml/2006/main">
          <a:off x="2396025" y="268316"/>
          <a:ext cx="1067736" cy="21051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fld id="{6A18DF47-E870-435B-A9F8-74BDD99F1535}" type="TxLink">
            <a:rPr lang="en-US" sz="1100" b="1" i="0" u="none" strike="noStrike" kern="1200">
              <a:solidFill>
                <a:schemeClr val="accent1">
                  <a:lumMod val="60000"/>
                  <a:lumOff val="40000"/>
                </a:schemeClr>
              </a:solidFill>
              <a:latin typeface="Flexo"/>
            </a:rPr>
            <a:pPr algn="ctr"/>
            <a:t>Austria</a:t>
          </a:fld>
          <a:endParaRPr lang="de-DE" sz="1100" b="1" kern="1200">
            <a:solidFill>
              <a:schemeClr val="accent1">
                <a:lumMod val="60000"/>
                <a:lumOff val="40000"/>
              </a:schemeClr>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0.4085</cdr:x>
      <cdr:y>0.07177</cdr:y>
    </cdr:from>
    <cdr:to>
      <cdr:x>0.61346</cdr:x>
      <cdr:y>0.14507</cdr:y>
    </cdr:to>
    <cdr:sp macro="" textlink="Tables!$B$51">
      <cdr:nvSpPr>
        <cdr:cNvPr id="2" name="TextBox 1">
          <a:extLst xmlns:a="http://schemas.openxmlformats.org/drawingml/2006/main">
            <a:ext uri="{FF2B5EF4-FFF2-40B4-BE49-F238E27FC236}">
              <a16:creationId xmlns:a16="http://schemas.microsoft.com/office/drawing/2014/main" id="{7C7599AC-077F-682C-2946-850DC0B8C2CB}"/>
            </a:ext>
          </a:extLst>
        </cdr:cNvPr>
        <cdr:cNvSpPr txBox="1"/>
      </cdr:nvSpPr>
      <cdr:spPr>
        <a:xfrm xmlns:a="http://schemas.openxmlformats.org/drawingml/2006/main">
          <a:off x="1987226" y="273919"/>
          <a:ext cx="997072" cy="279755"/>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ctr"/>
          <a:fld id="{05CE5D24-0AC6-4A0F-ACBD-2A0F1705AABC}" type="TxLink">
            <a:rPr lang="en-US" sz="1100" b="1" i="0" u="none" strike="noStrike" kern="1200">
              <a:solidFill>
                <a:schemeClr val="accent1">
                  <a:lumMod val="60000"/>
                  <a:lumOff val="40000"/>
                </a:schemeClr>
              </a:solidFill>
              <a:latin typeface="Flexo"/>
            </a:rPr>
            <a:pPr algn="ctr"/>
            <a:t>Austria</a:t>
          </a:fld>
          <a:endParaRPr lang="de-DE" sz="1100" b="1" kern="1200">
            <a:solidFill>
              <a:schemeClr val="accent1">
                <a:lumMod val="60000"/>
                <a:lumOff val="40000"/>
              </a:schemeClr>
            </a:solidFill>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1</xdr:col>
      <xdr:colOff>10948</xdr:colOff>
      <xdr:row>39</xdr:row>
      <xdr:rowOff>21897</xdr:rowOff>
    </xdr:from>
    <xdr:to>
      <xdr:col>7</xdr:col>
      <xdr:colOff>777328</xdr:colOff>
      <xdr:row>67</xdr:row>
      <xdr:rowOff>0</xdr:rowOff>
    </xdr:to>
    <xdr:sp macro="" textlink="">
      <xdr:nvSpPr>
        <xdr:cNvPr id="2" name="Rectangle 1">
          <a:extLst>
            <a:ext uri="{FF2B5EF4-FFF2-40B4-BE49-F238E27FC236}">
              <a16:creationId xmlns:a16="http://schemas.microsoft.com/office/drawing/2014/main" id="{D5C2B6B9-BF5F-5E91-2C2B-169ADAE5CBA5}"/>
            </a:ext>
          </a:extLst>
        </xdr:cNvPr>
        <xdr:cNvSpPr/>
      </xdr:nvSpPr>
      <xdr:spPr>
        <a:xfrm>
          <a:off x="799224" y="7729483"/>
          <a:ext cx="5496035" cy="5496034"/>
        </a:xfrm>
        <a:prstGeom prst="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11</xdr:col>
      <xdr:colOff>39268</xdr:colOff>
      <xdr:row>39</xdr:row>
      <xdr:rowOff>17372</xdr:rowOff>
    </xdr:from>
    <xdr:to>
      <xdr:col>17</xdr:col>
      <xdr:colOff>784626</xdr:colOff>
      <xdr:row>67</xdr:row>
      <xdr:rowOff>182473</xdr:rowOff>
    </xdr:to>
    <xdr:sp macro="" textlink="">
      <xdr:nvSpPr>
        <xdr:cNvPr id="3" name="Rectangle 2">
          <a:extLst>
            <a:ext uri="{FF2B5EF4-FFF2-40B4-BE49-F238E27FC236}">
              <a16:creationId xmlns:a16="http://schemas.microsoft.com/office/drawing/2014/main" id="{83C95520-C5CC-44C1-84E8-039E28985EE0}"/>
            </a:ext>
          </a:extLst>
        </xdr:cNvPr>
        <xdr:cNvSpPr/>
      </xdr:nvSpPr>
      <xdr:spPr>
        <a:xfrm>
          <a:off x="9031452" y="7440303"/>
          <a:ext cx="5686680" cy="5478664"/>
        </a:xfrm>
        <a:prstGeom prst="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31</xdr:col>
      <xdr:colOff>591449</xdr:colOff>
      <xdr:row>38</xdr:row>
      <xdr:rowOff>187180</xdr:rowOff>
    </xdr:from>
    <xdr:to>
      <xdr:col>36</xdr:col>
      <xdr:colOff>891839</xdr:colOff>
      <xdr:row>67</xdr:row>
      <xdr:rowOff>154161</xdr:rowOff>
    </xdr:to>
    <xdr:sp macro="" textlink="">
      <xdr:nvSpPr>
        <xdr:cNvPr id="4" name="Rectangle 2">
          <a:extLst>
            <a:ext uri="{FF2B5EF4-FFF2-40B4-BE49-F238E27FC236}">
              <a16:creationId xmlns:a16="http://schemas.microsoft.com/office/drawing/2014/main" id="{98F0385D-F0C0-499A-A4D0-F1202A73A303}"/>
            </a:ext>
          </a:extLst>
        </xdr:cNvPr>
        <xdr:cNvSpPr/>
      </xdr:nvSpPr>
      <xdr:spPr>
        <a:xfrm>
          <a:off x="24911949" y="7453394"/>
          <a:ext cx="6487104" cy="5491481"/>
        </a:xfrm>
        <a:prstGeom prst="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DOKUME~1\IWERNI~1\LOKALE~1\Temp\notes2402E6\EB2004.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agrammvorlage_frei_130815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vorherige%20Ordner%20bis%202003/Energiebilanzen/EB0506_06_03_2007xl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Lenz%20Energy/Kunden/Agora/Steuertool/Klimapraemien-Tool_v0-92_OHNE_KENNWORTSCHUTZ.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Lenz%20Energy/Kunden/Agora/Steuertool/Literatur/moel_amtliche_daten_2019_dezember%20BAF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Z2003 Zuordn. der EB"/>
      <sheetName val="Bil  TJ"/>
      <sheetName val="Bil  SKE"/>
      <sheetName val="Bil nat"/>
      <sheetName val="WZ2003_Zuordn__der_EB"/>
      <sheetName val="Bil__TJ"/>
      <sheetName val="Bil__SKE"/>
      <sheetName val="Bil_nat"/>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orberechnung"/>
      <sheetName val="Daten"/>
      <sheetName val="Balkendiagramm gestapelt"/>
      <sheetName val="Balkendiagramm gestapelt 100%"/>
      <sheetName val="Balkendiagramm Gruppe"/>
      <sheetName val="Flächendiagramm gestapelt"/>
      <sheetName val="Liniendiagramm"/>
      <sheetName val="Liniendiagramm gestapelt"/>
      <sheetName val="Punktliniendiagramm"/>
      <sheetName val="Punktliniendiagramm gestapelt"/>
      <sheetName val="Säulen gestapelt"/>
      <sheetName val="Säulen gestapelt 100%"/>
      <sheetName val="Säulendiagramm Gruppe"/>
      <sheetName val="Diagrammvorlage_frei_1308151"/>
    </sheetNames>
    <sheetDataSet>
      <sheetData sheetId="0"/>
      <sheetData sheetId="1">
        <row r="10">
          <cell r="B10">
            <v>2005</v>
          </cell>
          <cell r="C10">
            <v>5</v>
          </cell>
          <cell r="D10">
            <v>10</v>
          </cell>
          <cell r="E10">
            <v>15</v>
          </cell>
          <cell r="F10">
            <v>20</v>
          </cell>
          <cell r="G10">
            <v>25</v>
          </cell>
          <cell r="H10">
            <v>30</v>
          </cell>
          <cell r="I10">
            <v>35</v>
          </cell>
          <cell r="J10">
            <v>40</v>
          </cell>
          <cell r="K10">
            <v>45</v>
          </cell>
          <cell r="L10">
            <v>50</v>
          </cell>
        </row>
        <row r="11">
          <cell r="B11">
            <v>2010</v>
          </cell>
          <cell r="C11">
            <v>2</v>
          </cell>
          <cell r="D11">
            <v>4</v>
          </cell>
          <cell r="E11">
            <v>6</v>
          </cell>
          <cell r="F11">
            <v>8</v>
          </cell>
          <cell r="G11">
            <v>10</v>
          </cell>
          <cell r="H11">
            <v>12</v>
          </cell>
          <cell r="I11">
            <v>14</v>
          </cell>
          <cell r="J11">
            <v>16</v>
          </cell>
          <cell r="K11">
            <v>18</v>
          </cell>
          <cell r="L11">
            <v>20</v>
          </cell>
        </row>
        <row r="12">
          <cell r="B12">
            <v>2015</v>
          </cell>
          <cell r="C12">
            <v>3</v>
          </cell>
          <cell r="D12">
            <v>6</v>
          </cell>
          <cell r="E12">
            <v>9</v>
          </cell>
          <cell r="F12">
            <v>12</v>
          </cell>
          <cell r="G12">
            <v>15</v>
          </cell>
          <cell r="H12">
            <v>18</v>
          </cell>
          <cell r="I12">
            <v>21</v>
          </cell>
          <cell r="J12">
            <v>24</v>
          </cell>
          <cell r="K12">
            <v>27</v>
          </cell>
          <cell r="L12">
            <v>30</v>
          </cell>
        </row>
        <row r="13">
          <cell r="B13">
            <v>2020</v>
          </cell>
          <cell r="C13">
            <v>6</v>
          </cell>
          <cell r="D13">
            <v>12</v>
          </cell>
          <cell r="E13">
            <v>18</v>
          </cell>
          <cell r="F13">
            <v>24</v>
          </cell>
          <cell r="G13">
            <v>30</v>
          </cell>
          <cell r="H13">
            <v>36</v>
          </cell>
          <cell r="I13">
            <v>42</v>
          </cell>
          <cell r="J13">
            <v>48</v>
          </cell>
          <cell r="K13">
            <v>54</v>
          </cell>
          <cell r="L13">
            <v>60</v>
          </cell>
        </row>
        <row r="14">
          <cell r="B14">
            <v>2025</v>
          </cell>
          <cell r="C14">
            <v>10</v>
          </cell>
          <cell r="D14">
            <v>10</v>
          </cell>
          <cell r="E14">
            <v>18</v>
          </cell>
          <cell r="F14">
            <v>21.6666666666667</v>
          </cell>
          <cell r="G14">
            <v>25.6666666666667</v>
          </cell>
          <cell r="H14">
            <v>29.6666666666667</v>
          </cell>
          <cell r="I14">
            <v>33.6666666666667</v>
          </cell>
          <cell r="J14">
            <v>37.6666666666667</v>
          </cell>
          <cell r="K14">
            <v>41.6666666666667</v>
          </cell>
          <cell r="L14">
            <v>45.6666666666667</v>
          </cell>
        </row>
        <row r="15">
          <cell r="B15">
            <v>2030</v>
          </cell>
          <cell r="C15">
            <v>3</v>
          </cell>
          <cell r="D15">
            <v>9</v>
          </cell>
          <cell r="E15">
            <v>11</v>
          </cell>
          <cell r="F15">
            <v>15.6666666666667</v>
          </cell>
          <cell r="G15">
            <v>19.6666666666667</v>
          </cell>
          <cell r="H15">
            <v>23.6666666666667</v>
          </cell>
          <cell r="I15">
            <v>27.6666666666667</v>
          </cell>
          <cell r="J15">
            <v>31.6666666666667</v>
          </cell>
          <cell r="K15">
            <v>35.6666666666667</v>
          </cell>
          <cell r="L15">
            <v>39.6666666666667</v>
          </cell>
        </row>
        <row r="16">
          <cell r="B16">
            <v>2035</v>
          </cell>
          <cell r="C16">
            <v>6</v>
          </cell>
          <cell r="D16">
            <v>4</v>
          </cell>
          <cell r="E16">
            <v>6.6</v>
          </cell>
          <cell r="F16">
            <v>6.1333333333333302</v>
          </cell>
          <cell r="G16">
            <v>6.43333333333333</v>
          </cell>
          <cell r="H16">
            <v>6.7333333333333298</v>
          </cell>
          <cell r="I16">
            <v>7.0333333333333297</v>
          </cell>
          <cell r="J16">
            <v>7.3333333333333304</v>
          </cell>
          <cell r="K16">
            <v>7.6333333333333302</v>
          </cell>
          <cell r="L16">
            <v>7.93333333333333</v>
          </cell>
        </row>
        <row r="17">
          <cell r="B17">
            <v>2040</v>
          </cell>
          <cell r="C17">
            <v>4</v>
          </cell>
          <cell r="D17">
            <v>1</v>
          </cell>
          <cell r="E17">
            <v>7</v>
          </cell>
          <cell r="F17">
            <v>7</v>
          </cell>
          <cell r="G17">
            <v>8.5</v>
          </cell>
          <cell r="H17">
            <v>10</v>
          </cell>
          <cell r="I17">
            <v>11.5</v>
          </cell>
          <cell r="J17">
            <v>13</v>
          </cell>
          <cell r="K17">
            <v>14.5</v>
          </cell>
          <cell r="L17">
            <v>16</v>
          </cell>
        </row>
        <row r="18">
          <cell r="B18">
            <v>2045</v>
          </cell>
          <cell r="C18">
            <v>5.78571428571429</v>
          </cell>
          <cell r="D18">
            <v>4.5357142857142803</v>
          </cell>
          <cell r="E18">
            <v>8.1785714285714306</v>
          </cell>
          <cell r="F18">
            <v>8.5595238095238297</v>
          </cell>
          <cell r="G18">
            <v>9.7559523809523601</v>
          </cell>
          <cell r="H18">
            <v>10.952380952381001</v>
          </cell>
          <cell r="I18">
            <v>12.1488095238096</v>
          </cell>
          <cell r="J18">
            <v>13.3452380952381</v>
          </cell>
          <cell r="K18">
            <v>14.5416666666667</v>
          </cell>
          <cell r="L18">
            <v>15.738095238095299</v>
          </cell>
        </row>
        <row r="19">
          <cell r="B19">
            <v>2050</v>
          </cell>
          <cell r="C19">
            <v>5.9880952380952399</v>
          </cell>
          <cell r="D19">
            <v>3.9047619047619002</v>
          </cell>
          <cell r="E19">
            <v>7.5238095238095202</v>
          </cell>
          <cell r="F19">
            <v>7.3412698412698596</v>
          </cell>
          <cell r="G19">
            <v>8.1091269841269593</v>
          </cell>
          <cell r="H19">
            <v>8.8769841269841603</v>
          </cell>
          <cell r="I19">
            <v>9.64484126984126</v>
          </cell>
          <cell r="J19">
            <v>10.4126984126985</v>
          </cell>
          <cell r="K19">
            <v>11.1805555555556</v>
          </cell>
          <cell r="L19">
            <v>11.948412698412801</v>
          </cell>
        </row>
        <row r="20">
          <cell r="B20">
            <v>2055</v>
          </cell>
          <cell r="C20">
            <v>6.1904761904761996</v>
          </cell>
          <cell r="D20">
            <v>3.2738095238095202</v>
          </cell>
          <cell r="E20">
            <v>6.8690476190476204</v>
          </cell>
          <cell r="F20">
            <v>6.1230158730158601</v>
          </cell>
          <cell r="G20">
            <v>6.4623015873015603</v>
          </cell>
          <cell r="H20">
            <v>6.80158730158736</v>
          </cell>
          <cell r="I20">
            <v>7.1408730158730602</v>
          </cell>
          <cell r="J20">
            <v>7.4801587301587604</v>
          </cell>
          <cell r="K20">
            <v>7.81944444444445</v>
          </cell>
          <cell r="L20">
            <v>8.1587301587301599</v>
          </cell>
        </row>
        <row r="21">
          <cell r="B21">
            <v>2060</v>
          </cell>
          <cell r="C21">
            <v>6.3928571428571503</v>
          </cell>
          <cell r="D21">
            <v>2.6428571428571401</v>
          </cell>
          <cell r="E21">
            <v>6.21428571428571</v>
          </cell>
          <cell r="F21">
            <v>4.9047619047619602</v>
          </cell>
          <cell r="G21">
            <v>4.8154761904761596</v>
          </cell>
          <cell r="H21">
            <v>4.7261904761904603</v>
          </cell>
          <cell r="I21">
            <v>4.6369047619047601</v>
          </cell>
          <cell r="J21">
            <v>4.5476190476190599</v>
          </cell>
          <cell r="K21">
            <v>4.4583333333333499</v>
          </cell>
          <cell r="L21">
            <v>4.3690476190476604</v>
          </cell>
        </row>
        <row r="22">
          <cell r="B22">
            <v>2065</v>
          </cell>
          <cell r="C22">
            <v>6.5952380952381002</v>
          </cell>
          <cell r="D22">
            <v>8.5952380952381002</v>
          </cell>
          <cell r="E22">
            <v>10.5952380952381</v>
          </cell>
          <cell r="F22">
            <v>12.5952380952381</v>
          </cell>
          <cell r="G22">
            <v>14.5952380952381</v>
          </cell>
          <cell r="H22">
            <v>16.595238095238098</v>
          </cell>
          <cell r="I22">
            <v>18.595238095238098</v>
          </cell>
          <cell r="J22">
            <v>20.595238095238098</v>
          </cell>
          <cell r="K22">
            <v>22.595238095238098</v>
          </cell>
          <cell r="L22">
            <v>24.595238095238098</v>
          </cell>
        </row>
        <row r="23">
          <cell r="B23">
            <v>2070</v>
          </cell>
          <cell r="C23">
            <v>6.7976190476190501</v>
          </cell>
          <cell r="D23">
            <v>8.7976190476190492</v>
          </cell>
          <cell r="E23">
            <v>10.797619047619101</v>
          </cell>
          <cell r="F23">
            <v>12.797619047619101</v>
          </cell>
          <cell r="G23">
            <v>14.797619047619101</v>
          </cell>
          <cell r="H23">
            <v>16.797619047619101</v>
          </cell>
          <cell r="I23">
            <v>18.797619047619101</v>
          </cell>
          <cell r="J23">
            <v>20.797619047619101</v>
          </cell>
          <cell r="K23">
            <v>22.797619047619101</v>
          </cell>
          <cell r="L23">
            <v>24.797619047619101</v>
          </cell>
        </row>
        <row r="24">
          <cell r="B24">
            <v>2075</v>
          </cell>
          <cell r="C24">
            <v>7.0000000000000098</v>
          </cell>
          <cell r="D24">
            <v>8.0000000000000107</v>
          </cell>
          <cell r="E24">
            <v>9.0000000000000107</v>
          </cell>
          <cell r="F24">
            <v>10</v>
          </cell>
          <cell r="G24">
            <v>11</v>
          </cell>
          <cell r="H24">
            <v>12</v>
          </cell>
          <cell r="I24">
            <v>13</v>
          </cell>
          <cell r="J24">
            <v>14</v>
          </cell>
          <cell r="K24">
            <v>15</v>
          </cell>
          <cell r="L24">
            <v>16</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gramm1"/>
      <sheetName val="PEV2006engl."/>
      <sheetName val="PEV2006"/>
      <sheetName val="Diagramm4"/>
      <sheetName val="EB0304"/>
      <sheetName val="CO2"/>
      <sheetName val="CO2Grafik"/>
      <sheetName val="Grafik 2001_2002"/>
      <sheetName val="CO2neu+"/>
      <sheetName val="CO2neu+Grafik"/>
      <sheetName val="CO2neu+engl."/>
      <sheetName val="Diagramm2"/>
      <sheetName val="Tabelle3"/>
      <sheetName val="Co2neu"/>
      <sheetName val="Diagramm3"/>
      <sheetName val="Tabelle1"/>
      <sheetName val="Gas-Verbrauch"/>
      <sheetName val="Gasaufkommen"/>
      <sheetName val="Stromerzeugung"/>
      <sheetName val="EB97_Zahlen_für_Grafiken"/>
      <sheetName val="PEV-Anteile-Grafik"/>
      <sheetName val="PEV-Entwicklung"/>
      <sheetName val="PEV je Kopf"/>
      <sheetName val="Preise"/>
      <sheetName val="PEV pro BIP"/>
      <sheetName val="CO2-Emissionen"/>
      <sheetName val="PEV bereinigt"/>
      <sheetName val="Regwind"/>
      <sheetName val="PEV8097"/>
      <sheetName val="Tabelle5"/>
      <sheetName val="Tabelle6"/>
      <sheetName val="Tabelle7"/>
      <sheetName val="Tabelle8"/>
      <sheetName val="Tabelle9"/>
      <sheetName val="Tabelle10"/>
      <sheetName val="Tabelle11"/>
      <sheetName val="Tabelle12"/>
      <sheetName val="Tabelle13"/>
      <sheetName val="Tabelle14"/>
      <sheetName val="Tabelle15"/>
      <sheetName val="Tabelle16"/>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sheetData sheetId="11" refreshError="1"/>
      <sheetData sheetId="12"/>
      <sheetData sheetId="13"/>
      <sheetData sheetId="14" refreshError="1"/>
      <sheetData sheetId="15"/>
      <sheetData sheetId="16" refreshError="1"/>
      <sheetData sheetId="17" refreshError="1"/>
      <sheetData sheetId="18" refreshError="1"/>
      <sheetData sheetId="19">
        <row r="11">
          <cell r="A11" t="str">
            <v>Entwicklung des PEV in Deutschland (in PJ) (EB97PEV1.DOC)</v>
          </cell>
        </row>
        <row r="12">
          <cell r="A12" t="str">
            <v>Wegen Berechnung nach Wirkungsgradmethode vgl. EBWMD.XLS</v>
          </cell>
        </row>
        <row r="13">
          <cell r="C13" t="str">
            <v>Görgen</v>
          </cell>
          <cell r="D13" t="str">
            <v>Diff</v>
          </cell>
        </row>
        <row r="14">
          <cell r="A14">
            <v>1989</v>
          </cell>
          <cell r="B14">
            <v>15.082000000000001</v>
          </cell>
          <cell r="H14">
            <v>15082</v>
          </cell>
        </row>
        <row r="15">
          <cell r="A15">
            <v>1990</v>
          </cell>
          <cell r="B15">
            <v>14.9119104</v>
          </cell>
          <cell r="C15">
            <v>14880</v>
          </cell>
          <cell r="D15">
            <v>14865.0880896</v>
          </cell>
          <cell r="H15">
            <v>14911.910400000001</v>
          </cell>
        </row>
        <row r="16">
          <cell r="A16">
            <v>1991</v>
          </cell>
          <cell r="B16">
            <v>14.610038000000001</v>
          </cell>
          <cell r="C16">
            <v>14572</v>
          </cell>
          <cell r="D16">
            <v>14557.389961999999</v>
          </cell>
          <cell r="H16">
            <v>14610.038</v>
          </cell>
        </row>
        <row r="17">
          <cell r="A17">
            <v>1992</v>
          </cell>
          <cell r="B17">
            <v>14.314027199999998</v>
          </cell>
          <cell r="C17">
            <v>14282</v>
          </cell>
          <cell r="D17">
            <v>14267.6859728</v>
          </cell>
          <cell r="H17">
            <v>14314.027199999999</v>
          </cell>
        </row>
        <row r="18">
          <cell r="A18">
            <v>1993</v>
          </cell>
          <cell r="B18">
            <v>14.305234800000001</v>
          </cell>
          <cell r="C18">
            <v>14273</v>
          </cell>
          <cell r="D18">
            <v>14258.6947652</v>
          </cell>
          <cell r="H18">
            <v>14305.2348</v>
          </cell>
        </row>
        <row r="19">
          <cell r="A19">
            <v>1994</v>
          </cell>
          <cell r="B19">
            <v>14.1528332</v>
          </cell>
          <cell r="C19">
            <v>14141</v>
          </cell>
          <cell r="D19">
            <v>14126.8471668</v>
          </cell>
          <cell r="H19">
            <v>14152.833199999999</v>
          </cell>
        </row>
        <row r="20">
          <cell r="A20" t="str">
            <v>1995*)</v>
          </cell>
          <cell r="B20">
            <v>14.2964424</v>
          </cell>
          <cell r="C20">
            <v>14228</v>
          </cell>
          <cell r="D20">
            <v>14213.7035576</v>
          </cell>
          <cell r="H20">
            <v>14296.4424</v>
          </cell>
        </row>
        <row r="21">
          <cell r="A21" t="str">
            <v>1996*)</v>
          </cell>
          <cell r="B21">
            <v>14.7683012</v>
          </cell>
          <cell r="C21">
            <v>14638</v>
          </cell>
          <cell r="D21">
            <v>14623.2316988</v>
          </cell>
          <cell r="H21">
            <v>14768.3012</v>
          </cell>
        </row>
        <row r="22">
          <cell r="A22" t="str">
            <v>1997*)</v>
          </cell>
          <cell r="B22">
            <v>14.489875199999998</v>
          </cell>
          <cell r="H22">
            <v>14489.875199999999</v>
          </cell>
        </row>
      </sheetData>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Wirkung CO2-Preis"/>
      <sheetName val="Tool"/>
      <sheetName val="daten"/>
      <sheetName val="Version"/>
    </sheetNames>
    <sheetDataSet>
      <sheetData sheetId="0"/>
      <sheetData sheetId="1">
        <row r="15">
          <cell r="D15" t="str">
            <v>Partnerschaftsstatus</v>
          </cell>
        </row>
        <row r="16">
          <cell r="D16" t="str">
            <v>Kreistyp nach BBSR</v>
          </cell>
        </row>
        <row r="17">
          <cell r="D17" t="str">
            <v>Einkommensgruppe</v>
          </cell>
        </row>
        <row r="18">
          <cell r="D18" t="str">
            <v>Wärmeenergiebedarf Wohnfläche</v>
          </cell>
        </row>
      </sheetData>
      <sheetData sheetId="2">
        <row r="9">
          <cell r="O9" t="str">
            <v>Tool!O2:P2</v>
          </cell>
        </row>
        <row r="10">
          <cell r="O10" t="str">
            <v>Tool!O3:P3</v>
          </cell>
        </row>
        <row r="11">
          <cell r="O11" t="str">
            <v>Tool!O4:Q4</v>
          </cell>
        </row>
        <row r="12">
          <cell r="O12" t="str">
            <v>Tool!O5:P5</v>
          </cell>
        </row>
        <row r="30">
          <cell r="K30" t="b">
            <v>1</v>
          </cell>
        </row>
        <row r="46">
          <cell r="J46" t="str">
            <v>Tool!J47:J53</v>
          </cell>
          <cell r="M46" t="str">
            <v>Tool!M47:M54</v>
          </cell>
          <cell r="P46" t="str">
            <v>Tool!P47:P53</v>
          </cell>
          <cell r="S46" t="str">
            <v>Tool!S47:S53</v>
          </cell>
        </row>
      </sheetData>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kblatt"/>
      <sheetName val="Inhalt"/>
      <sheetName val="Tab 1"/>
      <sheetName val="Tab 2"/>
      <sheetName val="Tab 3"/>
      <sheetName val="Tab 4"/>
      <sheetName val="Tab 5"/>
      <sheetName val="Tab 5a"/>
      <sheetName val="Tab 5b"/>
      <sheetName val="Tab 5c"/>
      <sheetName val="Tab 5j"/>
      <sheetName val="Tab 6"/>
      <sheetName val="Tab 6a"/>
      <sheetName val="Tab 6b"/>
      <sheetName val="Tab 6c"/>
      <sheetName val="Tab 6j"/>
      <sheetName val="Tab 7"/>
      <sheetName val="Tab 7j"/>
      <sheetName val="Tab 8"/>
      <sheetName val="Tab 9"/>
      <sheetName val="Tab 10"/>
      <sheetName val="Tab 10a"/>
      <sheetName val="Tab 10j"/>
      <sheetName val="Parameter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ow r="13">
          <cell r="K13" t="str">
            <v>Förderung und Zugang von deutschem Rohöl</v>
          </cell>
          <cell r="L13" t="str">
            <v>Inhaltsverzeichnis der "Amtlichen Mineralöldaten"</v>
          </cell>
          <cell r="M13" t="str">
            <v>http://www.bafa.de/DE/Energie/Rohstoffe/Mineraloel/mineraloel_node.html</v>
          </cell>
          <cell r="N13" t="str">
            <v>Aufgrund der abnehmenden Bedeutung der reinen Biokraftstoffe wird ab dem Jahr 2017 auf eine gesonderte Darstellung verzichtet.</v>
          </cell>
          <cell r="O13" t="str">
            <v>Amtliche Mineralöldaten</v>
          </cell>
        </row>
        <row r="14">
          <cell r="K14" t="str">
            <v>Primäraufkommen von Rohöl aus Einfuhr und deutscher Förderung</v>
          </cell>
          <cell r="L14" t="str">
            <v>Hinweis:</v>
          </cell>
          <cell r="O14" t="str">
            <v>für die</v>
          </cell>
        </row>
        <row r="15">
          <cell r="K15" t="str">
            <v>Grenzübergangspreise der Einfuhr von Rohöl nach Ursprungsländern</v>
          </cell>
          <cell r="O15" t="str">
            <v>Bundesrepublik Deutschland</v>
          </cell>
        </row>
        <row r="16">
          <cell r="K16" t="str">
            <v>Verarbeitung von Rohöl und anderen Wiedereinsatzstoffen in Raffinerien</v>
          </cell>
          <cell r="O16" t="str">
            <v>Monat: Dezember 2019</v>
          </cell>
        </row>
        <row r="17">
          <cell r="K17" t="str">
            <v>Gesamtaufkommen von Mineralölprodukten</v>
          </cell>
          <cell r="O17" t="str">
            <v>Die Mineralöldaten können als Excel-Datei im INTERNET abgerufen werden unter:</v>
          </cell>
        </row>
        <row r="18">
          <cell r="K18" t="str">
            <v>Entwicklung der Bruttoraffinerieerzeugung</v>
          </cell>
          <cell r="O18" t="str">
            <v>http://www.bafa.de/bafa/de/</v>
          </cell>
        </row>
        <row r="19">
          <cell r="K19" t="str">
            <v>Entwicklung der Einfuhr</v>
          </cell>
          <cell r="O19" t="str">
            <v>Energie</v>
          </cell>
        </row>
        <row r="20">
          <cell r="K20" t="str">
            <v>Entwicklung der Abgänge zum Wiedereinsatz</v>
          </cell>
          <cell r="O20" t="str">
            <v>Mineralöl</v>
          </cell>
        </row>
        <row r="21">
          <cell r="K21" t="str">
            <v>Gesamtaufkommen von Mineralölprodukten (Jahr)</v>
          </cell>
          <cell r="O21" t="str">
            <v>zum Thema</v>
          </cell>
        </row>
        <row r="22">
          <cell r="K22" t="str">
            <v>Abgänge und Inlandsablieferungen von Mineralölprodukten</v>
          </cell>
          <cell r="O22" t="str">
            <v>Amtliche Mineralöldaten</v>
          </cell>
        </row>
        <row r="23">
          <cell r="K23" t="str">
            <v>Entwicklung der Ausfuhr</v>
          </cell>
          <cell r="O23" t="str">
            <v>oder direkt:</v>
          </cell>
        </row>
        <row r="24">
          <cell r="K24" t="str">
            <v>Entwicklung der Bunkerungen für die internationale Schiffahrt</v>
          </cell>
        </row>
        <row r="25">
          <cell r="K25" t="str">
            <v>Entwicklung der Inlandsablieferungen</v>
          </cell>
        </row>
        <row r="26">
          <cell r="K26" t="str">
            <v>Abgänge und Inlandsablieferungen von Mineralölprodukten</v>
          </cell>
        </row>
        <row r="27">
          <cell r="K27" t="str">
            <v>Inlandsablieferungen nach ausgewählten Verwendungssektoren</v>
          </cell>
        </row>
        <row r="28">
          <cell r="K28" t="str">
            <v>Inlandsablieferungen nach ausgewählten Verwendungssektoren (Jahr)</v>
          </cell>
        </row>
        <row r="29">
          <cell r="K29" t="str">
            <v>Eigentumsendbestand im In- und Ausland</v>
          </cell>
        </row>
        <row r="30">
          <cell r="K30" t="str">
            <v>Aufkommen zum Inlandsverbrauch an Otto- und Dieselkraftstoffen</v>
          </cell>
        </row>
        <row r="31">
          <cell r="K31" t="str">
            <v>Raffinerieerzeugung, Einfuhr, Ausfuhr und Inlandsablieferungen von Schmierstoffen</v>
          </cell>
        </row>
        <row r="32">
          <cell r="K32" t="str">
            <v>Entwicklung der Inlandsablieferungen von Schmierstoffen</v>
          </cell>
        </row>
        <row r="33">
          <cell r="K33" t="str">
            <v>Raffinerieerzeugung, Einfuhr, Ausfuhr und Inlandsablieferungen von Schmierstoffen (Jahr)</v>
          </cell>
        </row>
        <row r="34">
          <cell r="K34" t="str">
            <v>zurück zum Inhaltsverzeichnis</v>
          </cell>
        </row>
        <row r="35">
          <cell r="K35" t="str">
            <v>Zum Inhaltsverzeichnis</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urielle.gagnebin" refreshedDate="46007.492302777777" createdVersion="8" refreshedVersion="8" minRefreshableVersion="3" recordCount="5042" xr:uid="{0E854E89-439B-40BE-A7EF-CB6CF482F6EA}">
  <cacheSource type="worksheet">
    <worksheetSource name="Append2"/>
  </cacheSource>
  <cacheFields count="25">
    <cacheField name="Country" numFmtId="0">
      <sharedItems count="28">
        <s v="Austria"/>
        <s v="Belgium"/>
        <s v="Bulgaria"/>
        <s v="Croatia"/>
        <s v="Cyprus"/>
        <s v="Czechia"/>
        <s v="Denmark"/>
        <s v="Estonia"/>
        <s v="Finland"/>
        <s v="France"/>
        <s v="Germany"/>
        <s v="Greece"/>
        <s v="Hungary"/>
        <s v="Ireland"/>
        <s v="Italy"/>
        <s v="Latvia"/>
        <s v="Lithuania"/>
        <s v="Luxembourg"/>
        <s v="Malta"/>
        <s v="Netherlands"/>
        <s v="Poland"/>
        <s v="Portugal"/>
        <s v="Romania"/>
        <s v="Slovakia"/>
        <s v="Slovenia"/>
        <s v="Spain"/>
        <s v="Sweden"/>
        <s v="EU 27"/>
      </sharedItems>
    </cacheField>
    <cacheField name="Year" numFmtId="0">
      <sharedItems containsMixedTypes="1" containsNumber="1" containsInteger="1" minValue="2026" maxValue="2032" count="19">
        <s v="2026"/>
        <s v="2027"/>
        <s v="2028"/>
        <s v="2029"/>
        <s v="2030"/>
        <s v="2031"/>
        <s v="2032"/>
        <s v="2026-2032"/>
        <s v="2027-2032"/>
        <s v="2033"/>
        <s v="2034"/>
        <s v="2035"/>
        <n v="2026" u="1"/>
        <n v="2027" u="1"/>
        <n v="2028" u="1"/>
        <n v="2029" u="1"/>
        <n v="2030" u="1"/>
        <n v="2031" u="1"/>
        <n v="2032" u="1"/>
      </sharedItems>
    </cacheField>
    <cacheField name="SCF revenues" numFmtId="0">
      <sharedItems containsString="0" containsBlank="1" containsNumber="1" minValue="2.8" maxValue="64999.999999999993"/>
    </cacheField>
    <cacheField name="ETS2 auction revenues outide SCF" numFmtId="0">
      <sharedItems containsString="0" containsBlank="1" containsNumber="1" minValue="0" maxValue="247027.80076306302"/>
    </cacheField>
    <cacheField name="Min. own contribution to expenses by MS to SCF" numFmtId="0">
      <sharedItems containsString="0" containsBlank="1" containsNumber="1" minValue="0.93333333333333313" maxValue="21666.666666666661"/>
    </cacheField>
    <cacheField name="Total SCF incl. own contribution" numFmtId="0">
      <sharedItems containsString="0" containsBlank="1" containsNumber="1" minValue="0" maxValue="86666.666666666642"/>
    </cacheField>
    <cacheField name="Rest of ETS2 revenues after own contribution" numFmtId="0">
      <sharedItems containsString="0" containsBlank="1" containsNumber="1" minValue="0" maxValue="225361.13409639636"/>
    </cacheField>
    <cacheField name="Total ETS2 + SCF revenues" numFmtId="0">
      <sharedItems containsString="0" containsBlank="1" containsNumber="1" minValue="3.7333333333333329" maxValue="313689.41412142804"/>
    </cacheField>
    <cacheField name="Max direct redistribution in SCF" numFmtId="0">
      <sharedItems containsString="0" containsBlank="1" containsNumber="1" minValue="0" maxValue="32499.999999999993"/>
    </cacheField>
    <cacheField name="Total SCF incl. own contribution per capita" numFmtId="0">
      <sharedItems containsString="0" containsBlank="1" containsNumber="1" minValue="3.1336871367197374" maxValue="517.09134322381169"/>
    </cacheField>
    <cacheField name="Rest of ETS2 revenues after own contribution per capita" numFmtId="0">
      <sharedItems containsString="0" containsBlank="1" containsNumber="1" minValue="0" maxValue="2053.9273998374028"/>
    </cacheField>
    <cacheField name="Maximum direct redistribution in SCF per capita" numFmtId="0">
      <sharedItems containsString="0" containsBlank="1" containsNumber="1" minValue="1.1751326762699017" maxValue="193.90925370892936"/>
    </cacheField>
    <cacheField name="Max redistribution per capita - lower income households" numFmtId="0">
      <sharedItems containsString="0" containsBlank="1" containsNumber="1" minValue="2.3502653525398034" maxValue="387.81850741785871"/>
    </cacheField>
    <cacheField name="Max redistribution to pop at risk of poverty" numFmtId="0">
      <sharedItems containsString="0" containsBlank="1" containsNumber="1" minValue="6.400141634741022" maxValue="956.96922361904331"/>
    </cacheField>
    <cacheField name="Frontloading" numFmtId="0">
      <sharedItems containsString="0" containsBlank="1" containsNumber="1" minValue="-6831.2775841179428" maxValue="16491.767827881158"/>
    </cacheField>
    <cacheField name="Frontloading per cap" numFmtId="0">
      <sharedItems containsString="0" containsBlank="1" containsNumber="1" minValue="-57.649739501303834" maxValue="148.44867435962337"/>
    </cacheField>
    <cacheField name="DIS per cap" numFmtId="0">
      <sharedItems containsString="0" containsBlank="1" containsNumber="1" minValue="15.669474991922915" maxValue="428.49560610833481"/>
    </cacheField>
    <cacheField name="All revenues Per cap low" numFmtId="0">
      <sharedItems containsString="0" containsBlank="1" containsNumber="1" minValue="36.31230699983162" maxValue="872.57366304874222"/>
    </cacheField>
    <cacheField name="All revenues per cap poverty" numFmtId="0">
      <sharedItems containsString="0" containsBlank="1" containsNumber="1" minValue="52.811483641781123" maxValue="2002.3159163940879"/>
    </cacheField>
    <cacheField name="Revenue" numFmtId="0">
      <sharedItems containsString="0" containsBlank="1" containsNumber="1" minValue="12.555247753785933" maxValue="319645.40714222426"/>
    </cacheField>
    <cacheField name="Direct Income Support" numFmtId="0">
      <sharedItems containsString="0" containsBlank="1" containsNumber="1" minValue="0" maxValue="96411.396327272727"/>
    </cacheField>
    <cacheField name="SocialEV" numFmtId="0">
      <sharedItems containsString="0" containsBlank="1" containsNumber="1" minValue="15.200999999999999" maxValue="130746.00900000001"/>
    </cacheField>
    <cacheField name="SocialLeasing HP" numFmtId="0">
      <sharedItems containsString="0" containsBlank="1" containsNumber="1" minValue="0" maxValue="2943.5095943465299"/>
    </cacheField>
    <cacheField name="ETS2Rest+FL+Own" numFmtId="0">
      <sharedItems containsString="0" containsBlank="1" containsNumber="1" minValue="12.555247753785933" maxValue="61725.627084913998"/>
    </cacheField>
    <cacheField name="DIS-capita-adjust" numFmtId="0">
      <sharedItems containsString="0" containsBlank="1" containsNumber="1" minValue="0" maxValue="429.16363636363644"/>
    </cacheField>
  </cacheFields>
  <extLst>
    <ext xmlns:x14="http://schemas.microsoft.com/office/spreadsheetml/2009/9/main" uri="{725AE2AE-9491-48be-B2B4-4EB974FC3084}">
      <x14:pivotCacheDefinition pivotCacheId="83748389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42">
  <r>
    <x v="0"/>
    <x v="0"/>
    <n v="35.6"/>
    <m/>
    <m/>
    <m/>
    <m/>
    <m/>
    <m/>
    <m/>
    <m/>
    <m/>
    <m/>
    <m/>
    <m/>
    <m/>
    <m/>
    <m/>
    <m/>
    <m/>
    <m/>
    <m/>
    <m/>
    <m/>
    <m/>
  </r>
  <r>
    <x v="0"/>
    <x v="1"/>
    <n v="97.01"/>
    <m/>
    <m/>
    <m/>
    <m/>
    <m/>
    <m/>
    <m/>
    <m/>
    <m/>
    <m/>
    <m/>
    <m/>
    <m/>
    <m/>
    <m/>
    <m/>
    <m/>
    <m/>
    <m/>
    <m/>
    <m/>
    <m/>
  </r>
  <r>
    <x v="0"/>
    <x v="2"/>
    <n v="93.45"/>
    <m/>
    <m/>
    <m/>
    <m/>
    <m/>
    <m/>
    <m/>
    <m/>
    <m/>
    <m/>
    <m/>
    <m/>
    <m/>
    <m/>
    <m/>
    <m/>
    <m/>
    <m/>
    <m/>
    <m/>
    <m/>
    <m/>
  </r>
  <r>
    <x v="0"/>
    <x v="3"/>
    <n v="91.67"/>
    <m/>
    <m/>
    <m/>
    <m/>
    <m/>
    <m/>
    <m/>
    <m/>
    <m/>
    <m/>
    <m/>
    <m/>
    <m/>
    <m/>
    <m/>
    <m/>
    <m/>
    <m/>
    <m/>
    <m/>
    <m/>
    <m/>
  </r>
  <r>
    <x v="0"/>
    <x v="4"/>
    <n v="89.89"/>
    <m/>
    <m/>
    <m/>
    <m/>
    <m/>
    <m/>
    <m/>
    <m/>
    <m/>
    <m/>
    <m/>
    <m/>
    <m/>
    <m/>
    <m/>
    <m/>
    <m/>
    <m/>
    <m/>
    <m/>
    <m/>
    <m/>
  </r>
  <r>
    <x v="0"/>
    <x v="5"/>
    <n v="87.22"/>
    <m/>
    <m/>
    <m/>
    <m/>
    <m/>
    <m/>
    <m/>
    <m/>
    <m/>
    <m/>
    <m/>
    <m/>
    <m/>
    <m/>
    <m/>
    <m/>
    <m/>
    <m/>
    <m/>
    <m/>
    <m/>
    <m/>
  </r>
  <r>
    <x v="0"/>
    <x v="6"/>
    <n v="83.66"/>
    <m/>
    <m/>
    <m/>
    <m/>
    <m/>
    <m/>
    <m/>
    <m/>
    <m/>
    <m/>
    <m/>
    <m/>
    <m/>
    <m/>
    <m/>
    <m/>
    <m/>
    <m/>
    <m/>
    <m/>
    <m/>
    <m/>
  </r>
  <r>
    <x v="0"/>
    <x v="7"/>
    <n v="578.97925326729501"/>
    <m/>
    <m/>
    <m/>
    <m/>
    <m/>
    <m/>
    <m/>
    <m/>
    <m/>
    <m/>
    <m/>
    <m/>
    <m/>
    <m/>
    <m/>
    <m/>
    <m/>
    <m/>
    <m/>
    <m/>
    <m/>
    <m/>
  </r>
  <r>
    <x v="1"/>
    <x v="0"/>
    <n v="102"/>
    <m/>
    <m/>
    <m/>
    <m/>
    <m/>
    <m/>
    <m/>
    <m/>
    <m/>
    <m/>
    <m/>
    <m/>
    <m/>
    <m/>
    <m/>
    <m/>
    <m/>
    <m/>
    <m/>
    <m/>
    <m/>
    <m/>
  </r>
  <r>
    <x v="1"/>
    <x v="1"/>
    <n v="277.95"/>
    <m/>
    <m/>
    <m/>
    <m/>
    <m/>
    <m/>
    <m/>
    <m/>
    <m/>
    <m/>
    <m/>
    <m/>
    <m/>
    <m/>
    <m/>
    <m/>
    <m/>
    <m/>
    <m/>
    <m/>
    <m/>
    <m/>
  </r>
  <r>
    <x v="1"/>
    <x v="2"/>
    <n v="267.75"/>
    <m/>
    <m/>
    <m/>
    <m/>
    <m/>
    <m/>
    <m/>
    <m/>
    <m/>
    <m/>
    <m/>
    <m/>
    <m/>
    <m/>
    <m/>
    <m/>
    <m/>
    <m/>
    <m/>
    <m/>
    <m/>
    <m/>
  </r>
  <r>
    <x v="1"/>
    <x v="3"/>
    <n v="262.64999999999998"/>
    <m/>
    <m/>
    <m/>
    <m/>
    <m/>
    <m/>
    <m/>
    <m/>
    <m/>
    <m/>
    <m/>
    <m/>
    <m/>
    <m/>
    <m/>
    <m/>
    <m/>
    <m/>
    <m/>
    <m/>
    <m/>
    <m/>
  </r>
  <r>
    <x v="1"/>
    <x v="4"/>
    <n v="257.55"/>
    <m/>
    <m/>
    <m/>
    <m/>
    <m/>
    <m/>
    <m/>
    <m/>
    <m/>
    <m/>
    <m/>
    <m/>
    <m/>
    <m/>
    <m/>
    <m/>
    <m/>
    <m/>
    <m/>
    <m/>
    <m/>
    <m/>
  </r>
  <r>
    <x v="1"/>
    <x v="5"/>
    <n v="249.89999999999998"/>
    <m/>
    <m/>
    <m/>
    <m/>
    <m/>
    <m/>
    <m/>
    <m/>
    <m/>
    <m/>
    <m/>
    <m/>
    <m/>
    <m/>
    <m/>
    <m/>
    <m/>
    <m/>
    <m/>
    <m/>
    <m/>
    <m/>
  </r>
  <r>
    <x v="1"/>
    <x v="6"/>
    <n v="239.7"/>
    <m/>
    <m/>
    <m/>
    <m/>
    <m/>
    <m/>
    <m/>
    <m/>
    <m/>
    <m/>
    <m/>
    <m/>
    <m/>
    <m/>
    <m/>
    <m/>
    <m/>
    <m/>
    <m/>
    <m/>
    <m/>
    <m/>
  </r>
  <r>
    <x v="1"/>
    <x v="7"/>
    <n v="1659.7298763393271"/>
    <m/>
    <m/>
    <m/>
    <m/>
    <m/>
    <m/>
    <m/>
    <m/>
    <m/>
    <m/>
    <m/>
    <m/>
    <m/>
    <m/>
    <m/>
    <m/>
    <m/>
    <m/>
    <m/>
    <m/>
    <m/>
    <m/>
  </r>
  <r>
    <x v="2"/>
    <x v="0"/>
    <n v="154"/>
    <m/>
    <m/>
    <m/>
    <m/>
    <m/>
    <m/>
    <m/>
    <m/>
    <m/>
    <m/>
    <m/>
    <m/>
    <m/>
    <m/>
    <m/>
    <m/>
    <m/>
    <m/>
    <m/>
    <m/>
    <m/>
    <m/>
  </r>
  <r>
    <x v="2"/>
    <x v="1"/>
    <n v="419.65"/>
    <m/>
    <m/>
    <m/>
    <m/>
    <m/>
    <m/>
    <m/>
    <m/>
    <m/>
    <m/>
    <m/>
    <m/>
    <m/>
    <m/>
    <m/>
    <m/>
    <m/>
    <m/>
    <m/>
    <m/>
    <m/>
    <m/>
  </r>
  <r>
    <x v="2"/>
    <x v="2"/>
    <n v="404.25"/>
    <m/>
    <m/>
    <m/>
    <m/>
    <m/>
    <m/>
    <m/>
    <m/>
    <m/>
    <m/>
    <m/>
    <m/>
    <m/>
    <m/>
    <m/>
    <m/>
    <m/>
    <m/>
    <m/>
    <m/>
    <m/>
    <m/>
  </r>
  <r>
    <x v="2"/>
    <x v="3"/>
    <n v="396.55"/>
    <m/>
    <m/>
    <m/>
    <m/>
    <m/>
    <m/>
    <m/>
    <m/>
    <m/>
    <m/>
    <m/>
    <m/>
    <m/>
    <m/>
    <m/>
    <m/>
    <m/>
    <m/>
    <m/>
    <m/>
    <m/>
    <m/>
  </r>
  <r>
    <x v="2"/>
    <x v="4"/>
    <n v="388.85"/>
    <m/>
    <m/>
    <m/>
    <m/>
    <m/>
    <m/>
    <m/>
    <m/>
    <m/>
    <m/>
    <m/>
    <m/>
    <m/>
    <m/>
    <m/>
    <m/>
    <m/>
    <m/>
    <m/>
    <m/>
    <m/>
    <m/>
  </r>
  <r>
    <x v="2"/>
    <x v="5"/>
    <n v="377.3"/>
    <m/>
    <m/>
    <m/>
    <m/>
    <m/>
    <m/>
    <m/>
    <m/>
    <m/>
    <m/>
    <m/>
    <m/>
    <m/>
    <m/>
    <m/>
    <m/>
    <m/>
    <m/>
    <m/>
    <m/>
    <m/>
    <m/>
  </r>
  <r>
    <x v="2"/>
    <x v="6"/>
    <n v="361.9"/>
    <m/>
    <m/>
    <m/>
    <m/>
    <m/>
    <m/>
    <m/>
    <m/>
    <m/>
    <m/>
    <m/>
    <m/>
    <m/>
    <m/>
    <m/>
    <m/>
    <m/>
    <m/>
    <m/>
    <m/>
    <m/>
    <m/>
  </r>
  <r>
    <x v="2"/>
    <x v="7"/>
    <n v="2499.4902803080995"/>
    <m/>
    <m/>
    <m/>
    <m/>
    <m/>
    <m/>
    <m/>
    <m/>
    <m/>
    <m/>
    <m/>
    <m/>
    <m/>
    <m/>
    <m/>
    <m/>
    <m/>
    <m/>
    <m/>
    <m/>
    <m/>
    <m/>
  </r>
  <r>
    <x v="3"/>
    <x v="0"/>
    <n v="77.600000000000009"/>
    <m/>
    <m/>
    <m/>
    <m/>
    <m/>
    <m/>
    <m/>
    <m/>
    <m/>
    <m/>
    <m/>
    <m/>
    <m/>
    <m/>
    <m/>
    <m/>
    <m/>
    <m/>
    <m/>
    <m/>
    <m/>
    <m/>
  </r>
  <r>
    <x v="3"/>
    <x v="1"/>
    <n v="211.46"/>
    <m/>
    <m/>
    <m/>
    <m/>
    <m/>
    <m/>
    <m/>
    <m/>
    <m/>
    <m/>
    <m/>
    <m/>
    <m/>
    <m/>
    <m/>
    <m/>
    <m/>
    <m/>
    <m/>
    <m/>
    <m/>
    <m/>
  </r>
  <r>
    <x v="3"/>
    <x v="2"/>
    <n v="203.70000000000002"/>
    <m/>
    <m/>
    <m/>
    <m/>
    <m/>
    <m/>
    <m/>
    <m/>
    <m/>
    <m/>
    <m/>
    <m/>
    <m/>
    <m/>
    <m/>
    <m/>
    <m/>
    <m/>
    <m/>
    <m/>
    <m/>
    <m/>
  </r>
  <r>
    <x v="3"/>
    <x v="3"/>
    <n v="199.82"/>
    <m/>
    <m/>
    <m/>
    <m/>
    <m/>
    <m/>
    <m/>
    <m/>
    <m/>
    <m/>
    <m/>
    <m/>
    <m/>
    <m/>
    <m/>
    <m/>
    <m/>
    <m/>
    <m/>
    <m/>
    <m/>
    <m/>
  </r>
  <r>
    <x v="3"/>
    <x v="4"/>
    <n v="195.94"/>
    <m/>
    <m/>
    <m/>
    <m/>
    <m/>
    <m/>
    <m/>
    <m/>
    <m/>
    <m/>
    <m/>
    <m/>
    <m/>
    <m/>
    <m/>
    <m/>
    <m/>
    <m/>
    <m/>
    <m/>
    <m/>
    <m/>
  </r>
  <r>
    <x v="3"/>
    <x v="5"/>
    <n v="190.12"/>
    <m/>
    <m/>
    <m/>
    <m/>
    <m/>
    <m/>
    <m/>
    <m/>
    <m/>
    <m/>
    <m/>
    <m/>
    <m/>
    <m/>
    <m/>
    <m/>
    <m/>
    <m/>
    <m/>
    <m/>
    <m/>
    <m/>
  </r>
  <r>
    <x v="3"/>
    <x v="6"/>
    <n v="182.36"/>
    <m/>
    <m/>
    <m/>
    <m/>
    <m/>
    <m/>
    <m/>
    <m/>
    <m/>
    <m/>
    <m/>
    <m/>
    <m/>
    <m/>
    <m/>
    <m/>
    <m/>
    <m/>
    <m/>
    <m/>
    <m/>
    <m/>
  </r>
  <r>
    <x v="3"/>
    <x v="7"/>
    <n v="1263.0718990245693"/>
    <m/>
    <m/>
    <m/>
    <m/>
    <m/>
    <m/>
    <m/>
    <m/>
    <m/>
    <m/>
    <m/>
    <m/>
    <m/>
    <m/>
    <m/>
    <m/>
    <m/>
    <m/>
    <m/>
    <m/>
    <m/>
    <m/>
  </r>
  <r>
    <x v="4"/>
    <x v="0"/>
    <n v="8"/>
    <m/>
    <m/>
    <m/>
    <m/>
    <m/>
    <m/>
    <m/>
    <m/>
    <m/>
    <m/>
    <m/>
    <m/>
    <m/>
    <m/>
    <m/>
    <m/>
    <m/>
    <m/>
    <m/>
    <m/>
    <m/>
    <m/>
  </r>
  <r>
    <x v="4"/>
    <x v="1"/>
    <n v="21.8"/>
    <m/>
    <m/>
    <m/>
    <m/>
    <m/>
    <m/>
    <m/>
    <m/>
    <m/>
    <m/>
    <m/>
    <m/>
    <m/>
    <m/>
    <m/>
    <m/>
    <m/>
    <m/>
    <m/>
    <m/>
    <m/>
    <m/>
  </r>
  <r>
    <x v="4"/>
    <x v="2"/>
    <n v="21"/>
    <m/>
    <m/>
    <m/>
    <m/>
    <m/>
    <m/>
    <m/>
    <m/>
    <m/>
    <m/>
    <m/>
    <m/>
    <m/>
    <m/>
    <m/>
    <m/>
    <m/>
    <m/>
    <m/>
    <m/>
    <m/>
    <m/>
  </r>
  <r>
    <x v="4"/>
    <x v="3"/>
    <n v="20.6"/>
    <m/>
    <m/>
    <m/>
    <m/>
    <m/>
    <m/>
    <m/>
    <m/>
    <m/>
    <m/>
    <m/>
    <m/>
    <m/>
    <m/>
    <m/>
    <m/>
    <m/>
    <m/>
    <m/>
    <m/>
    <m/>
    <m/>
  </r>
  <r>
    <x v="4"/>
    <x v="4"/>
    <n v="20.2"/>
    <m/>
    <m/>
    <m/>
    <m/>
    <m/>
    <m/>
    <m/>
    <m/>
    <m/>
    <m/>
    <m/>
    <m/>
    <m/>
    <m/>
    <m/>
    <m/>
    <m/>
    <m/>
    <m/>
    <m/>
    <m/>
    <m/>
  </r>
  <r>
    <x v="4"/>
    <x v="5"/>
    <n v="19.600000000000001"/>
    <m/>
    <m/>
    <m/>
    <m/>
    <m/>
    <m/>
    <m/>
    <m/>
    <m/>
    <m/>
    <m/>
    <m/>
    <m/>
    <m/>
    <m/>
    <m/>
    <m/>
    <m/>
    <m/>
    <m/>
    <m/>
    <m/>
  </r>
  <r>
    <x v="4"/>
    <x v="6"/>
    <n v="18.8"/>
    <m/>
    <m/>
    <m/>
    <m/>
    <m/>
    <m/>
    <m/>
    <m/>
    <m/>
    <m/>
    <m/>
    <m/>
    <m/>
    <m/>
    <m/>
    <m/>
    <m/>
    <m/>
    <m/>
    <m/>
    <m/>
    <m/>
  </r>
  <r>
    <x v="4"/>
    <x v="7"/>
    <n v="131.12290733145167"/>
    <m/>
    <m/>
    <m/>
    <m/>
    <m/>
    <m/>
    <m/>
    <m/>
    <m/>
    <m/>
    <m/>
    <m/>
    <m/>
    <m/>
    <m/>
    <m/>
    <m/>
    <m/>
    <m/>
    <m/>
    <m/>
    <m/>
  </r>
  <r>
    <x v="5"/>
    <x v="0"/>
    <n v="96"/>
    <m/>
    <m/>
    <m/>
    <m/>
    <m/>
    <m/>
    <m/>
    <m/>
    <m/>
    <m/>
    <m/>
    <m/>
    <m/>
    <m/>
    <m/>
    <m/>
    <m/>
    <m/>
    <m/>
    <m/>
    <m/>
    <m/>
  </r>
  <r>
    <x v="5"/>
    <x v="1"/>
    <n v="261.60000000000002"/>
    <m/>
    <m/>
    <m/>
    <m/>
    <m/>
    <m/>
    <m/>
    <m/>
    <m/>
    <m/>
    <m/>
    <m/>
    <m/>
    <m/>
    <m/>
    <m/>
    <m/>
    <m/>
    <m/>
    <m/>
    <m/>
    <m/>
  </r>
  <r>
    <x v="5"/>
    <x v="2"/>
    <n v="252"/>
    <m/>
    <m/>
    <m/>
    <m/>
    <m/>
    <m/>
    <m/>
    <m/>
    <m/>
    <m/>
    <m/>
    <m/>
    <m/>
    <m/>
    <m/>
    <m/>
    <m/>
    <m/>
    <m/>
    <m/>
    <m/>
    <m/>
  </r>
  <r>
    <x v="5"/>
    <x v="3"/>
    <n v="247.20000000000002"/>
    <m/>
    <m/>
    <m/>
    <m/>
    <m/>
    <m/>
    <m/>
    <m/>
    <m/>
    <m/>
    <m/>
    <m/>
    <m/>
    <m/>
    <m/>
    <m/>
    <m/>
    <m/>
    <m/>
    <m/>
    <m/>
    <m/>
  </r>
  <r>
    <x v="5"/>
    <x v="4"/>
    <n v="242.4"/>
    <m/>
    <m/>
    <m/>
    <m/>
    <m/>
    <m/>
    <m/>
    <m/>
    <m/>
    <m/>
    <m/>
    <m/>
    <m/>
    <m/>
    <m/>
    <m/>
    <m/>
    <m/>
    <m/>
    <m/>
    <m/>
    <m/>
  </r>
  <r>
    <x v="5"/>
    <x v="5"/>
    <n v="235.20000000000002"/>
    <m/>
    <m/>
    <m/>
    <m/>
    <m/>
    <m/>
    <m/>
    <m/>
    <m/>
    <m/>
    <m/>
    <m/>
    <m/>
    <m/>
    <m/>
    <m/>
    <m/>
    <m/>
    <m/>
    <m/>
    <m/>
    <m/>
  </r>
  <r>
    <x v="5"/>
    <x v="6"/>
    <n v="225.6"/>
    <m/>
    <m/>
    <m/>
    <m/>
    <m/>
    <m/>
    <m/>
    <m/>
    <m/>
    <m/>
    <m/>
    <m/>
    <m/>
    <m/>
    <m/>
    <m/>
    <m/>
    <m/>
    <m/>
    <m/>
    <m/>
    <m/>
  </r>
  <r>
    <x v="5"/>
    <x v="7"/>
    <n v="1561.6344733929345"/>
    <m/>
    <m/>
    <m/>
    <m/>
    <m/>
    <m/>
    <m/>
    <m/>
    <m/>
    <m/>
    <m/>
    <m/>
    <m/>
    <m/>
    <m/>
    <m/>
    <m/>
    <m/>
    <m/>
    <m/>
    <m/>
    <m/>
  </r>
  <r>
    <x v="6"/>
    <x v="0"/>
    <n v="20"/>
    <m/>
    <m/>
    <m/>
    <m/>
    <m/>
    <m/>
    <m/>
    <m/>
    <m/>
    <m/>
    <m/>
    <m/>
    <m/>
    <m/>
    <m/>
    <m/>
    <m/>
    <m/>
    <m/>
    <m/>
    <m/>
    <m/>
  </r>
  <r>
    <x v="6"/>
    <x v="1"/>
    <n v="54.5"/>
    <m/>
    <m/>
    <m/>
    <m/>
    <m/>
    <m/>
    <m/>
    <m/>
    <m/>
    <m/>
    <m/>
    <m/>
    <m/>
    <m/>
    <m/>
    <m/>
    <m/>
    <m/>
    <m/>
    <m/>
    <m/>
    <m/>
  </r>
  <r>
    <x v="6"/>
    <x v="2"/>
    <n v="52.5"/>
    <m/>
    <m/>
    <m/>
    <m/>
    <m/>
    <m/>
    <m/>
    <m/>
    <m/>
    <m/>
    <m/>
    <m/>
    <m/>
    <m/>
    <m/>
    <m/>
    <m/>
    <m/>
    <m/>
    <m/>
    <m/>
    <m/>
  </r>
  <r>
    <x v="6"/>
    <x v="3"/>
    <n v="51.5"/>
    <m/>
    <m/>
    <m/>
    <m/>
    <m/>
    <m/>
    <m/>
    <m/>
    <m/>
    <m/>
    <m/>
    <m/>
    <m/>
    <m/>
    <m/>
    <m/>
    <m/>
    <m/>
    <m/>
    <m/>
    <m/>
    <m/>
  </r>
  <r>
    <x v="6"/>
    <x v="4"/>
    <n v="50.5"/>
    <m/>
    <m/>
    <m/>
    <m/>
    <m/>
    <m/>
    <m/>
    <m/>
    <m/>
    <m/>
    <m/>
    <m/>
    <m/>
    <m/>
    <m/>
    <m/>
    <m/>
    <m/>
    <m/>
    <m/>
    <m/>
    <m/>
  </r>
  <r>
    <x v="6"/>
    <x v="5"/>
    <n v="49"/>
    <m/>
    <m/>
    <m/>
    <m/>
    <m/>
    <m/>
    <m/>
    <m/>
    <m/>
    <m/>
    <m/>
    <m/>
    <m/>
    <m/>
    <m/>
    <m/>
    <m/>
    <m/>
    <m/>
    <m/>
    <m/>
    <m/>
  </r>
  <r>
    <x v="6"/>
    <x v="6"/>
    <n v="47"/>
    <m/>
    <m/>
    <m/>
    <m/>
    <m/>
    <m/>
    <m/>
    <m/>
    <m/>
    <m/>
    <m/>
    <m/>
    <m/>
    <m/>
    <m/>
    <m/>
    <m/>
    <m/>
    <m/>
    <m/>
    <m/>
    <m/>
  </r>
  <r>
    <x v="6"/>
    <x v="7"/>
    <n v="325.01551244357609"/>
    <m/>
    <m/>
    <m/>
    <m/>
    <m/>
    <m/>
    <m/>
    <m/>
    <m/>
    <m/>
    <m/>
    <m/>
    <m/>
    <m/>
    <m/>
    <m/>
    <m/>
    <m/>
    <m/>
    <m/>
    <m/>
    <m/>
  </r>
  <r>
    <x v="7"/>
    <x v="0"/>
    <n v="11.6"/>
    <m/>
    <m/>
    <m/>
    <m/>
    <m/>
    <m/>
    <m/>
    <m/>
    <m/>
    <m/>
    <m/>
    <m/>
    <m/>
    <m/>
    <m/>
    <m/>
    <m/>
    <m/>
    <m/>
    <m/>
    <m/>
    <m/>
  </r>
  <r>
    <x v="7"/>
    <x v="1"/>
    <n v="31.61"/>
    <m/>
    <m/>
    <m/>
    <m/>
    <m/>
    <m/>
    <m/>
    <m/>
    <m/>
    <m/>
    <m/>
    <m/>
    <m/>
    <m/>
    <m/>
    <m/>
    <m/>
    <m/>
    <m/>
    <m/>
    <m/>
    <m/>
  </r>
  <r>
    <x v="7"/>
    <x v="2"/>
    <n v="30.45"/>
    <m/>
    <m/>
    <m/>
    <m/>
    <m/>
    <m/>
    <m/>
    <m/>
    <m/>
    <m/>
    <m/>
    <m/>
    <m/>
    <m/>
    <m/>
    <m/>
    <m/>
    <m/>
    <m/>
    <m/>
    <m/>
    <m/>
  </r>
  <r>
    <x v="7"/>
    <x v="3"/>
    <n v="29.869999999999997"/>
    <m/>
    <m/>
    <m/>
    <m/>
    <m/>
    <m/>
    <m/>
    <m/>
    <m/>
    <m/>
    <m/>
    <m/>
    <m/>
    <m/>
    <m/>
    <m/>
    <m/>
    <m/>
    <m/>
    <m/>
    <m/>
    <m/>
  </r>
  <r>
    <x v="7"/>
    <x v="4"/>
    <n v="29.29"/>
    <m/>
    <m/>
    <m/>
    <m/>
    <m/>
    <m/>
    <m/>
    <m/>
    <m/>
    <m/>
    <m/>
    <m/>
    <m/>
    <m/>
    <m/>
    <m/>
    <m/>
    <m/>
    <m/>
    <m/>
    <m/>
    <m/>
  </r>
  <r>
    <x v="7"/>
    <x v="5"/>
    <n v="28.419999999999998"/>
    <m/>
    <m/>
    <m/>
    <m/>
    <m/>
    <m/>
    <m/>
    <m/>
    <m/>
    <m/>
    <m/>
    <m/>
    <m/>
    <m/>
    <m/>
    <m/>
    <m/>
    <m/>
    <m/>
    <m/>
    <m/>
    <m/>
  </r>
  <r>
    <x v="7"/>
    <x v="6"/>
    <n v="27.259999999999998"/>
    <m/>
    <m/>
    <m/>
    <m/>
    <m/>
    <m/>
    <m/>
    <m/>
    <m/>
    <m/>
    <m/>
    <m/>
    <m/>
    <m/>
    <m/>
    <m/>
    <m/>
    <m/>
    <m/>
    <m/>
    <m/>
    <m/>
  </r>
  <r>
    <x v="7"/>
    <x v="7"/>
    <n v="186.2445707781124"/>
    <m/>
    <m/>
    <m/>
    <m/>
    <m/>
    <m/>
    <m/>
    <m/>
    <m/>
    <m/>
    <m/>
    <m/>
    <m/>
    <m/>
    <m/>
    <m/>
    <m/>
    <m/>
    <m/>
    <m/>
    <m/>
    <m/>
  </r>
  <r>
    <x v="8"/>
    <x v="0"/>
    <n v="35.6"/>
    <m/>
    <m/>
    <m/>
    <m/>
    <m/>
    <m/>
    <m/>
    <m/>
    <m/>
    <m/>
    <m/>
    <m/>
    <m/>
    <m/>
    <m/>
    <m/>
    <m/>
    <m/>
    <m/>
    <m/>
    <m/>
    <m/>
  </r>
  <r>
    <x v="8"/>
    <x v="1"/>
    <n v="97.01"/>
    <m/>
    <m/>
    <m/>
    <m/>
    <m/>
    <m/>
    <m/>
    <m/>
    <m/>
    <m/>
    <m/>
    <m/>
    <m/>
    <m/>
    <m/>
    <m/>
    <m/>
    <m/>
    <m/>
    <m/>
    <m/>
    <m/>
  </r>
  <r>
    <x v="8"/>
    <x v="2"/>
    <n v="93.45"/>
    <m/>
    <m/>
    <m/>
    <m/>
    <m/>
    <m/>
    <m/>
    <m/>
    <m/>
    <m/>
    <m/>
    <m/>
    <m/>
    <m/>
    <m/>
    <m/>
    <m/>
    <m/>
    <m/>
    <m/>
    <m/>
    <m/>
  </r>
  <r>
    <x v="8"/>
    <x v="3"/>
    <n v="91.67"/>
    <m/>
    <m/>
    <m/>
    <m/>
    <m/>
    <m/>
    <m/>
    <m/>
    <m/>
    <m/>
    <m/>
    <m/>
    <m/>
    <m/>
    <m/>
    <m/>
    <m/>
    <m/>
    <m/>
    <m/>
    <m/>
    <m/>
  </r>
  <r>
    <x v="8"/>
    <x v="4"/>
    <n v="89.89"/>
    <m/>
    <m/>
    <m/>
    <m/>
    <m/>
    <m/>
    <m/>
    <m/>
    <m/>
    <m/>
    <m/>
    <m/>
    <m/>
    <m/>
    <m/>
    <m/>
    <m/>
    <m/>
    <m/>
    <m/>
    <m/>
    <m/>
  </r>
  <r>
    <x v="8"/>
    <x v="5"/>
    <n v="87.22"/>
    <m/>
    <m/>
    <m/>
    <m/>
    <m/>
    <m/>
    <m/>
    <m/>
    <m/>
    <m/>
    <m/>
    <m/>
    <m/>
    <m/>
    <m/>
    <m/>
    <m/>
    <m/>
    <m/>
    <m/>
    <m/>
    <m/>
  </r>
  <r>
    <x v="8"/>
    <x v="6"/>
    <n v="83.66"/>
    <m/>
    <m/>
    <m/>
    <m/>
    <m/>
    <m/>
    <m/>
    <m/>
    <m/>
    <m/>
    <m/>
    <m/>
    <m/>
    <m/>
    <m/>
    <m/>
    <m/>
    <m/>
    <m/>
    <m/>
    <m/>
    <m/>
  </r>
  <r>
    <x v="8"/>
    <x v="7"/>
    <n v="348.15822384567207"/>
    <m/>
    <m/>
    <m/>
    <m/>
    <m/>
    <m/>
    <m/>
    <m/>
    <m/>
    <m/>
    <m/>
    <m/>
    <m/>
    <m/>
    <m/>
    <m/>
    <m/>
    <m/>
    <m/>
    <m/>
    <m/>
    <m/>
  </r>
  <r>
    <x v="9"/>
    <x v="0"/>
    <n v="447.6"/>
    <m/>
    <m/>
    <m/>
    <m/>
    <m/>
    <m/>
    <m/>
    <m/>
    <m/>
    <m/>
    <m/>
    <m/>
    <m/>
    <m/>
    <m/>
    <m/>
    <m/>
    <m/>
    <m/>
    <m/>
    <m/>
    <m/>
  </r>
  <r>
    <x v="9"/>
    <x v="1"/>
    <n v="1219.71"/>
    <m/>
    <m/>
    <m/>
    <m/>
    <m/>
    <m/>
    <m/>
    <m/>
    <m/>
    <m/>
    <m/>
    <m/>
    <m/>
    <m/>
    <m/>
    <m/>
    <m/>
    <m/>
    <m/>
    <m/>
    <m/>
    <m/>
  </r>
  <r>
    <x v="9"/>
    <x v="2"/>
    <n v="1174.95"/>
    <m/>
    <m/>
    <m/>
    <m/>
    <m/>
    <m/>
    <m/>
    <m/>
    <m/>
    <m/>
    <m/>
    <m/>
    <m/>
    <m/>
    <m/>
    <m/>
    <m/>
    <m/>
    <m/>
    <m/>
    <m/>
    <m/>
  </r>
  <r>
    <x v="9"/>
    <x v="3"/>
    <n v="1152.57"/>
    <m/>
    <m/>
    <m/>
    <m/>
    <m/>
    <m/>
    <m/>
    <m/>
    <m/>
    <m/>
    <m/>
    <m/>
    <m/>
    <m/>
    <m/>
    <m/>
    <m/>
    <m/>
    <m/>
    <m/>
    <m/>
    <m/>
  </r>
  <r>
    <x v="9"/>
    <x v="4"/>
    <n v="1130.19"/>
    <m/>
    <m/>
    <m/>
    <m/>
    <m/>
    <m/>
    <m/>
    <m/>
    <m/>
    <m/>
    <m/>
    <m/>
    <m/>
    <m/>
    <m/>
    <m/>
    <m/>
    <m/>
    <m/>
    <m/>
    <m/>
    <m/>
  </r>
  <r>
    <x v="9"/>
    <x v="5"/>
    <n v="1096.6199999999999"/>
    <m/>
    <m/>
    <m/>
    <m/>
    <m/>
    <m/>
    <m/>
    <m/>
    <m/>
    <m/>
    <m/>
    <m/>
    <m/>
    <m/>
    <m/>
    <m/>
    <m/>
    <m/>
    <m/>
    <m/>
    <m/>
    <m/>
  </r>
  <r>
    <x v="9"/>
    <x v="6"/>
    <n v="1051.8599999999999"/>
    <m/>
    <m/>
    <m/>
    <m/>
    <m/>
    <m/>
    <m/>
    <m/>
    <m/>
    <m/>
    <m/>
    <m/>
    <m/>
    <m/>
    <m/>
    <m/>
    <m/>
    <m/>
    <m/>
    <m/>
    <m/>
    <m/>
  </r>
  <r>
    <x v="9"/>
    <x v="7"/>
    <n v="7276.8251971291957"/>
    <m/>
    <m/>
    <m/>
    <m/>
    <m/>
    <m/>
    <m/>
    <m/>
    <m/>
    <m/>
    <m/>
    <m/>
    <m/>
    <m/>
    <m/>
    <m/>
    <m/>
    <m/>
    <m/>
    <m/>
    <m/>
    <m/>
  </r>
  <r>
    <x v="10"/>
    <x v="0"/>
    <n v="327.2"/>
    <m/>
    <m/>
    <m/>
    <m/>
    <m/>
    <m/>
    <m/>
    <m/>
    <m/>
    <m/>
    <m/>
    <m/>
    <m/>
    <m/>
    <m/>
    <m/>
    <m/>
    <m/>
    <m/>
    <m/>
    <m/>
    <m/>
  </r>
  <r>
    <x v="10"/>
    <x v="1"/>
    <n v="891.62"/>
    <m/>
    <m/>
    <m/>
    <m/>
    <m/>
    <m/>
    <m/>
    <m/>
    <m/>
    <m/>
    <m/>
    <m/>
    <m/>
    <m/>
    <m/>
    <m/>
    <m/>
    <m/>
    <m/>
    <m/>
    <m/>
    <m/>
  </r>
  <r>
    <x v="10"/>
    <x v="2"/>
    <n v="858.9"/>
    <m/>
    <m/>
    <m/>
    <m/>
    <m/>
    <m/>
    <m/>
    <m/>
    <m/>
    <m/>
    <m/>
    <m/>
    <m/>
    <m/>
    <m/>
    <m/>
    <m/>
    <m/>
    <m/>
    <m/>
    <m/>
    <m/>
  </r>
  <r>
    <x v="10"/>
    <x v="3"/>
    <n v="842.54"/>
    <m/>
    <m/>
    <m/>
    <m/>
    <m/>
    <m/>
    <m/>
    <m/>
    <m/>
    <m/>
    <m/>
    <m/>
    <m/>
    <m/>
    <m/>
    <m/>
    <m/>
    <m/>
    <m/>
    <m/>
    <m/>
    <m/>
  </r>
  <r>
    <x v="10"/>
    <x v="4"/>
    <n v="826.18"/>
    <m/>
    <m/>
    <m/>
    <m/>
    <m/>
    <m/>
    <m/>
    <m/>
    <m/>
    <m/>
    <m/>
    <m/>
    <m/>
    <m/>
    <m/>
    <m/>
    <m/>
    <m/>
    <m/>
    <m/>
    <m/>
    <m/>
  </r>
  <r>
    <x v="10"/>
    <x v="5"/>
    <n v="801.64"/>
    <m/>
    <m/>
    <m/>
    <m/>
    <m/>
    <m/>
    <m/>
    <m/>
    <m/>
    <m/>
    <m/>
    <m/>
    <m/>
    <m/>
    <m/>
    <m/>
    <m/>
    <m/>
    <m/>
    <m/>
    <m/>
    <m/>
  </r>
  <r>
    <x v="10"/>
    <x v="6"/>
    <n v="768.92"/>
    <m/>
    <m/>
    <m/>
    <m/>
    <m/>
    <m/>
    <m/>
    <m/>
    <m/>
    <m/>
    <m/>
    <m/>
    <m/>
    <m/>
    <m/>
    <m/>
    <m/>
    <m/>
    <m/>
    <m/>
    <m/>
    <m/>
  </r>
  <r>
    <x v="10"/>
    <x v="7"/>
    <n v="5318.1740786186901"/>
    <m/>
    <m/>
    <m/>
    <m/>
    <m/>
    <m/>
    <m/>
    <m/>
    <m/>
    <m/>
    <m/>
    <m/>
    <m/>
    <m/>
    <m/>
    <m/>
    <m/>
    <m/>
    <m/>
    <m/>
    <m/>
    <m/>
  </r>
  <r>
    <x v="11"/>
    <x v="0"/>
    <n v="220.79999999999998"/>
    <m/>
    <m/>
    <m/>
    <m/>
    <m/>
    <m/>
    <m/>
    <m/>
    <m/>
    <m/>
    <m/>
    <m/>
    <m/>
    <m/>
    <m/>
    <m/>
    <m/>
    <m/>
    <m/>
    <m/>
    <m/>
    <m/>
  </r>
  <r>
    <x v="11"/>
    <x v="1"/>
    <n v="601.67999999999995"/>
    <m/>
    <m/>
    <m/>
    <m/>
    <m/>
    <m/>
    <m/>
    <m/>
    <m/>
    <m/>
    <m/>
    <m/>
    <m/>
    <m/>
    <m/>
    <m/>
    <m/>
    <m/>
    <m/>
    <m/>
    <m/>
    <m/>
  </r>
  <r>
    <x v="11"/>
    <x v="2"/>
    <n v="579.6"/>
    <m/>
    <m/>
    <m/>
    <m/>
    <m/>
    <m/>
    <m/>
    <m/>
    <m/>
    <m/>
    <m/>
    <m/>
    <m/>
    <m/>
    <m/>
    <m/>
    <m/>
    <m/>
    <m/>
    <m/>
    <m/>
    <m/>
  </r>
  <r>
    <x v="11"/>
    <x v="3"/>
    <n v="568.55999999999995"/>
    <m/>
    <m/>
    <m/>
    <m/>
    <m/>
    <m/>
    <m/>
    <m/>
    <m/>
    <m/>
    <m/>
    <m/>
    <m/>
    <m/>
    <m/>
    <m/>
    <m/>
    <m/>
    <m/>
    <m/>
    <m/>
    <m/>
  </r>
  <r>
    <x v="11"/>
    <x v="4"/>
    <n v="557.52"/>
    <m/>
    <m/>
    <m/>
    <m/>
    <m/>
    <m/>
    <m/>
    <m/>
    <m/>
    <m/>
    <m/>
    <m/>
    <m/>
    <m/>
    <m/>
    <m/>
    <m/>
    <m/>
    <m/>
    <m/>
    <m/>
    <m/>
  </r>
  <r>
    <x v="11"/>
    <x v="5"/>
    <n v="540.96"/>
    <m/>
    <m/>
    <m/>
    <m/>
    <m/>
    <m/>
    <m/>
    <m/>
    <m/>
    <m/>
    <m/>
    <m/>
    <m/>
    <m/>
    <m/>
    <m/>
    <m/>
    <m/>
    <m/>
    <m/>
    <m/>
    <m/>
  </r>
  <r>
    <x v="11"/>
    <x v="6"/>
    <n v="518.88"/>
    <m/>
    <m/>
    <m/>
    <m/>
    <m/>
    <m/>
    <m/>
    <m/>
    <m/>
    <m/>
    <m/>
    <m/>
    <m/>
    <m/>
    <m/>
    <m/>
    <m/>
    <m/>
    <m/>
    <m/>
    <m/>
    <m/>
  </r>
  <r>
    <x v="11"/>
    <x v="7"/>
    <n v="3586.8436081367622"/>
    <m/>
    <m/>
    <m/>
    <m/>
    <m/>
    <m/>
    <m/>
    <m/>
    <m/>
    <m/>
    <m/>
    <m/>
    <m/>
    <m/>
    <m/>
    <m/>
    <m/>
    <m/>
    <m/>
    <m/>
    <m/>
    <m/>
  </r>
  <r>
    <x v="12"/>
    <x v="0"/>
    <n v="173.2"/>
    <m/>
    <m/>
    <m/>
    <m/>
    <m/>
    <m/>
    <m/>
    <m/>
    <m/>
    <m/>
    <m/>
    <m/>
    <m/>
    <m/>
    <m/>
    <m/>
    <m/>
    <m/>
    <m/>
    <m/>
    <m/>
    <m/>
  </r>
  <r>
    <x v="12"/>
    <x v="1"/>
    <n v="471.96999999999997"/>
    <m/>
    <m/>
    <m/>
    <m/>
    <m/>
    <m/>
    <m/>
    <m/>
    <m/>
    <m/>
    <m/>
    <m/>
    <m/>
    <m/>
    <m/>
    <m/>
    <m/>
    <m/>
    <m/>
    <m/>
    <m/>
    <m/>
  </r>
  <r>
    <x v="12"/>
    <x v="2"/>
    <n v="454.65"/>
    <m/>
    <m/>
    <m/>
    <m/>
    <m/>
    <m/>
    <m/>
    <m/>
    <m/>
    <m/>
    <m/>
    <m/>
    <m/>
    <m/>
    <m/>
    <m/>
    <m/>
    <m/>
    <m/>
    <m/>
    <m/>
    <m/>
  </r>
  <r>
    <x v="12"/>
    <x v="3"/>
    <n v="445.99"/>
    <m/>
    <m/>
    <m/>
    <m/>
    <m/>
    <m/>
    <m/>
    <m/>
    <m/>
    <m/>
    <m/>
    <m/>
    <m/>
    <m/>
    <m/>
    <m/>
    <m/>
    <m/>
    <m/>
    <m/>
    <m/>
    <m/>
  </r>
  <r>
    <x v="12"/>
    <x v="4"/>
    <n v="437.33"/>
    <m/>
    <m/>
    <m/>
    <m/>
    <m/>
    <m/>
    <m/>
    <m/>
    <m/>
    <m/>
    <m/>
    <m/>
    <m/>
    <m/>
    <m/>
    <m/>
    <m/>
    <m/>
    <m/>
    <m/>
    <m/>
    <m/>
  </r>
  <r>
    <x v="12"/>
    <x v="5"/>
    <n v="424.34"/>
    <m/>
    <m/>
    <m/>
    <m/>
    <m/>
    <m/>
    <m/>
    <m/>
    <m/>
    <m/>
    <m/>
    <m/>
    <m/>
    <m/>
    <m/>
    <m/>
    <m/>
    <m/>
    <m/>
    <m/>
    <m/>
    <m/>
  </r>
  <r>
    <x v="12"/>
    <x v="6"/>
    <n v="407.02"/>
    <m/>
    <m/>
    <m/>
    <m/>
    <m/>
    <m/>
    <m/>
    <m/>
    <m/>
    <m/>
    <m/>
    <m/>
    <m/>
    <m/>
    <m/>
    <m/>
    <m/>
    <m/>
    <m/>
    <m/>
    <m/>
    <m/>
  </r>
  <r>
    <x v="12"/>
    <x v="7"/>
    <n v="2815.9681741310483"/>
    <m/>
    <m/>
    <m/>
    <m/>
    <m/>
    <m/>
    <m/>
    <m/>
    <m/>
    <m/>
    <m/>
    <m/>
    <m/>
    <m/>
    <m/>
    <m/>
    <m/>
    <m/>
    <m/>
    <m/>
    <m/>
    <m/>
  </r>
  <r>
    <x v="13"/>
    <x v="0"/>
    <n v="40.800000000000004"/>
    <m/>
    <m/>
    <m/>
    <m/>
    <m/>
    <m/>
    <m/>
    <m/>
    <m/>
    <m/>
    <m/>
    <m/>
    <m/>
    <m/>
    <m/>
    <m/>
    <m/>
    <m/>
    <m/>
    <m/>
    <m/>
    <m/>
  </r>
  <r>
    <x v="13"/>
    <x v="1"/>
    <n v="111.18"/>
    <m/>
    <m/>
    <m/>
    <m/>
    <m/>
    <m/>
    <m/>
    <m/>
    <m/>
    <m/>
    <m/>
    <m/>
    <m/>
    <m/>
    <m/>
    <m/>
    <m/>
    <m/>
    <m/>
    <m/>
    <m/>
    <m/>
  </r>
  <r>
    <x v="13"/>
    <x v="2"/>
    <n v="107.10000000000001"/>
    <m/>
    <m/>
    <m/>
    <m/>
    <m/>
    <m/>
    <m/>
    <m/>
    <m/>
    <m/>
    <m/>
    <m/>
    <m/>
    <m/>
    <m/>
    <m/>
    <m/>
    <m/>
    <m/>
    <m/>
    <m/>
    <m/>
  </r>
  <r>
    <x v="13"/>
    <x v="3"/>
    <n v="105.06"/>
    <m/>
    <m/>
    <m/>
    <m/>
    <m/>
    <m/>
    <m/>
    <m/>
    <m/>
    <m/>
    <m/>
    <m/>
    <m/>
    <m/>
    <m/>
    <m/>
    <m/>
    <m/>
    <m/>
    <m/>
    <m/>
    <m/>
  </r>
  <r>
    <x v="13"/>
    <x v="4"/>
    <n v="103.02000000000001"/>
    <m/>
    <m/>
    <m/>
    <m/>
    <m/>
    <m/>
    <m/>
    <m/>
    <m/>
    <m/>
    <m/>
    <m/>
    <m/>
    <m/>
    <m/>
    <m/>
    <m/>
    <m/>
    <m/>
    <m/>
    <m/>
    <m/>
  </r>
  <r>
    <x v="13"/>
    <x v="5"/>
    <n v="99.960000000000008"/>
    <m/>
    <m/>
    <m/>
    <m/>
    <m/>
    <m/>
    <m/>
    <m/>
    <m/>
    <m/>
    <m/>
    <m/>
    <m/>
    <m/>
    <m/>
    <m/>
    <m/>
    <m/>
    <m/>
    <m/>
    <m/>
    <m/>
  </r>
  <r>
    <x v="13"/>
    <x v="6"/>
    <n v="95.88000000000001"/>
    <m/>
    <m/>
    <m/>
    <m/>
    <m/>
    <m/>
    <m/>
    <m/>
    <m/>
    <m/>
    <m/>
    <m/>
    <m/>
    <m/>
    <m/>
    <m/>
    <m/>
    <m/>
    <m/>
    <m/>
    <m/>
    <m/>
  </r>
  <r>
    <x v="13"/>
    <x v="7"/>
    <n v="663.44021523630329"/>
    <m/>
    <m/>
    <m/>
    <m/>
    <m/>
    <m/>
    <m/>
    <m/>
    <m/>
    <m/>
    <m/>
    <m/>
    <m/>
    <m/>
    <m/>
    <m/>
    <m/>
    <m/>
    <m/>
    <m/>
    <m/>
    <m/>
  </r>
  <r>
    <x v="14"/>
    <x v="0"/>
    <n v="432.40000000000003"/>
    <m/>
    <m/>
    <m/>
    <m/>
    <m/>
    <m/>
    <m/>
    <m/>
    <m/>
    <m/>
    <m/>
    <m/>
    <m/>
    <m/>
    <m/>
    <m/>
    <m/>
    <m/>
    <m/>
    <m/>
    <m/>
    <m/>
  </r>
  <r>
    <x v="14"/>
    <x v="1"/>
    <n v="1178.29"/>
    <m/>
    <m/>
    <m/>
    <m/>
    <m/>
    <m/>
    <m/>
    <m/>
    <m/>
    <m/>
    <m/>
    <m/>
    <m/>
    <m/>
    <m/>
    <m/>
    <m/>
    <m/>
    <m/>
    <m/>
    <m/>
    <m/>
  </r>
  <r>
    <x v="14"/>
    <x v="2"/>
    <n v="1135.05"/>
    <m/>
    <m/>
    <m/>
    <m/>
    <m/>
    <m/>
    <m/>
    <m/>
    <m/>
    <m/>
    <m/>
    <m/>
    <m/>
    <m/>
    <m/>
    <m/>
    <m/>
    <m/>
    <m/>
    <m/>
    <m/>
    <m/>
  </r>
  <r>
    <x v="14"/>
    <x v="3"/>
    <n v="1113.43"/>
    <m/>
    <m/>
    <m/>
    <m/>
    <m/>
    <m/>
    <m/>
    <m/>
    <m/>
    <m/>
    <m/>
    <m/>
    <m/>
    <m/>
    <m/>
    <m/>
    <m/>
    <m/>
    <m/>
    <m/>
    <m/>
    <m/>
  </r>
  <r>
    <x v="14"/>
    <x v="4"/>
    <n v="1091.81"/>
    <m/>
    <m/>
    <m/>
    <m/>
    <m/>
    <m/>
    <m/>
    <m/>
    <m/>
    <m/>
    <m/>
    <m/>
    <m/>
    <m/>
    <m/>
    <m/>
    <m/>
    <m/>
    <m/>
    <m/>
    <m/>
    <m/>
  </r>
  <r>
    <x v="14"/>
    <x v="5"/>
    <n v="1059.3800000000001"/>
    <m/>
    <m/>
    <m/>
    <m/>
    <m/>
    <m/>
    <m/>
    <m/>
    <m/>
    <m/>
    <m/>
    <m/>
    <m/>
    <m/>
    <m/>
    <m/>
    <m/>
    <m/>
    <m/>
    <m/>
    <m/>
    <m/>
  </r>
  <r>
    <x v="14"/>
    <x v="6"/>
    <n v="1016.14"/>
    <m/>
    <m/>
    <m/>
    <m/>
    <m/>
    <m/>
    <m/>
    <m/>
    <m/>
    <m/>
    <m/>
    <m/>
    <m/>
    <m/>
    <m/>
    <m/>
    <m/>
    <m/>
    <m/>
    <m/>
    <m/>
    <m/>
  </r>
  <r>
    <x v="14"/>
    <x v="7"/>
    <n v="7023.9709244470205"/>
    <m/>
    <m/>
    <m/>
    <m/>
    <m/>
    <m/>
    <m/>
    <m/>
    <m/>
    <m/>
    <m/>
    <m/>
    <m/>
    <m/>
    <m/>
    <m/>
    <m/>
    <m/>
    <m/>
    <m/>
    <m/>
    <m/>
  </r>
  <r>
    <x v="15"/>
    <x v="0"/>
    <n v="28.400000000000002"/>
    <m/>
    <m/>
    <m/>
    <m/>
    <m/>
    <m/>
    <m/>
    <m/>
    <m/>
    <m/>
    <m/>
    <m/>
    <m/>
    <m/>
    <m/>
    <m/>
    <m/>
    <m/>
    <m/>
    <m/>
    <m/>
    <m/>
  </r>
  <r>
    <x v="15"/>
    <x v="1"/>
    <n v="77.39"/>
    <m/>
    <m/>
    <m/>
    <m/>
    <m/>
    <m/>
    <m/>
    <m/>
    <m/>
    <m/>
    <m/>
    <m/>
    <m/>
    <m/>
    <m/>
    <m/>
    <m/>
    <m/>
    <m/>
    <m/>
    <m/>
    <m/>
  </r>
  <r>
    <x v="15"/>
    <x v="2"/>
    <n v="74.550000000000011"/>
    <m/>
    <m/>
    <m/>
    <m/>
    <m/>
    <m/>
    <m/>
    <m/>
    <m/>
    <m/>
    <m/>
    <m/>
    <m/>
    <m/>
    <m/>
    <m/>
    <m/>
    <m/>
    <m/>
    <m/>
    <m/>
    <m/>
  </r>
  <r>
    <x v="15"/>
    <x v="3"/>
    <n v="73.13000000000001"/>
    <m/>
    <m/>
    <m/>
    <m/>
    <m/>
    <m/>
    <m/>
    <m/>
    <m/>
    <m/>
    <m/>
    <m/>
    <m/>
    <m/>
    <m/>
    <m/>
    <m/>
    <m/>
    <m/>
    <m/>
    <m/>
    <m/>
  </r>
  <r>
    <x v="15"/>
    <x v="4"/>
    <n v="71.710000000000008"/>
    <m/>
    <m/>
    <m/>
    <m/>
    <m/>
    <m/>
    <m/>
    <m/>
    <m/>
    <m/>
    <m/>
    <m/>
    <m/>
    <m/>
    <m/>
    <m/>
    <m/>
    <m/>
    <m/>
    <m/>
    <m/>
    <m/>
  </r>
  <r>
    <x v="15"/>
    <x v="5"/>
    <n v="69.58"/>
    <m/>
    <m/>
    <m/>
    <m/>
    <m/>
    <m/>
    <m/>
    <m/>
    <m/>
    <m/>
    <m/>
    <m/>
    <m/>
    <m/>
    <m/>
    <m/>
    <m/>
    <m/>
    <m/>
    <m/>
    <m/>
    <m/>
  </r>
  <r>
    <x v="15"/>
    <x v="6"/>
    <n v="66.740000000000009"/>
    <m/>
    <m/>
    <m/>
    <m/>
    <m/>
    <m/>
    <m/>
    <m/>
    <m/>
    <m/>
    <m/>
    <m/>
    <m/>
    <m/>
    <m/>
    <m/>
    <m/>
    <m/>
    <m/>
    <m/>
    <m/>
    <m/>
  </r>
  <r>
    <x v="15"/>
    <x v="7"/>
    <n v="463.67652837636416"/>
    <m/>
    <m/>
    <m/>
    <m/>
    <m/>
    <m/>
    <m/>
    <m/>
    <m/>
    <m/>
    <m/>
    <m/>
    <m/>
    <m/>
    <m/>
    <m/>
    <m/>
    <m/>
    <m/>
    <m/>
    <m/>
    <m/>
  </r>
  <r>
    <x v="16"/>
    <x v="0"/>
    <n v="40.800000000000004"/>
    <m/>
    <m/>
    <m/>
    <m/>
    <m/>
    <m/>
    <m/>
    <m/>
    <m/>
    <m/>
    <m/>
    <m/>
    <m/>
    <m/>
    <m/>
    <m/>
    <m/>
    <m/>
    <m/>
    <m/>
    <m/>
    <m/>
  </r>
  <r>
    <x v="16"/>
    <x v="1"/>
    <n v="111.18"/>
    <m/>
    <m/>
    <m/>
    <m/>
    <m/>
    <m/>
    <m/>
    <m/>
    <m/>
    <m/>
    <m/>
    <m/>
    <m/>
    <m/>
    <m/>
    <m/>
    <m/>
    <m/>
    <m/>
    <m/>
    <m/>
    <m/>
  </r>
  <r>
    <x v="16"/>
    <x v="2"/>
    <n v="107.10000000000001"/>
    <m/>
    <m/>
    <m/>
    <m/>
    <m/>
    <m/>
    <m/>
    <m/>
    <m/>
    <m/>
    <m/>
    <m/>
    <m/>
    <m/>
    <m/>
    <m/>
    <m/>
    <m/>
    <m/>
    <m/>
    <m/>
    <m/>
  </r>
  <r>
    <x v="16"/>
    <x v="3"/>
    <n v="105.06"/>
    <m/>
    <m/>
    <m/>
    <m/>
    <m/>
    <m/>
    <m/>
    <m/>
    <m/>
    <m/>
    <m/>
    <m/>
    <m/>
    <m/>
    <m/>
    <m/>
    <m/>
    <m/>
    <m/>
    <m/>
    <m/>
    <m/>
  </r>
  <r>
    <x v="16"/>
    <x v="4"/>
    <n v="103.02000000000001"/>
    <m/>
    <m/>
    <m/>
    <m/>
    <m/>
    <m/>
    <m/>
    <m/>
    <m/>
    <m/>
    <m/>
    <m/>
    <m/>
    <m/>
    <m/>
    <m/>
    <m/>
    <m/>
    <m/>
    <m/>
    <m/>
    <m/>
  </r>
  <r>
    <x v="16"/>
    <x v="5"/>
    <n v="99.960000000000008"/>
    <m/>
    <m/>
    <m/>
    <m/>
    <m/>
    <m/>
    <m/>
    <m/>
    <m/>
    <m/>
    <m/>
    <m/>
    <m/>
    <m/>
    <m/>
    <m/>
    <m/>
    <m/>
    <m/>
    <m/>
    <m/>
    <m/>
  </r>
  <r>
    <x v="16"/>
    <x v="6"/>
    <n v="95.88000000000001"/>
    <m/>
    <m/>
    <m/>
    <m/>
    <m/>
    <m/>
    <m/>
    <m/>
    <m/>
    <m/>
    <m/>
    <m/>
    <m/>
    <m/>
    <m/>
    <m/>
    <m/>
    <m/>
    <m/>
    <m/>
    <m/>
    <m/>
  </r>
  <r>
    <x v="16"/>
    <x v="7"/>
    <n v="664.17136679680266"/>
    <m/>
    <m/>
    <m/>
    <m/>
    <m/>
    <m/>
    <m/>
    <m/>
    <m/>
    <m/>
    <m/>
    <m/>
    <m/>
    <m/>
    <m/>
    <m/>
    <m/>
    <m/>
    <m/>
    <m/>
    <m/>
    <m/>
  </r>
  <r>
    <x v="17"/>
    <x v="0"/>
    <n v="4"/>
    <m/>
    <m/>
    <m/>
    <m/>
    <m/>
    <m/>
    <m/>
    <m/>
    <m/>
    <m/>
    <m/>
    <m/>
    <m/>
    <m/>
    <m/>
    <m/>
    <m/>
    <m/>
    <m/>
    <m/>
    <m/>
    <m/>
  </r>
  <r>
    <x v="17"/>
    <x v="1"/>
    <n v="10.9"/>
    <m/>
    <m/>
    <m/>
    <m/>
    <m/>
    <m/>
    <m/>
    <m/>
    <m/>
    <m/>
    <m/>
    <m/>
    <m/>
    <m/>
    <m/>
    <m/>
    <m/>
    <m/>
    <m/>
    <m/>
    <m/>
    <m/>
  </r>
  <r>
    <x v="17"/>
    <x v="2"/>
    <n v="10.5"/>
    <m/>
    <m/>
    <m/>
    <m/>
    <m/>
    <m/>
    <m/>
    <m/>
    <m/>
    <m/>
    <m/>
    <m/>
    <m/>
    <m/>
    <m/>
    <m/>
    <m/>
    <m/>
    <m/>
    <m/>
    <m/>
    <m/>
  </r>
  <r>
    <x v="17"/>
    <x v="3"/>
    <n v="10.3"/>
    <m/>
    <m/>
    <m/>
    <m/>
    <m/>
    <m/>
    <m/>
    <m/>
    <m/>
    <m/>
    <m/>
    <m/>
    <m/>
    <m/>
    <m/>
    <m/>
    <m/>
    <m/>
    <m/>
    <m/>
    <m/>
    <m/>
  </r>
  <r>
    <x v="17"/>
    <x v="4"/>
    <n v="10.1"/>
    <m/>
    <m/>
    <m/>
    <m/>
    <m/>
    <m/>
    <m/>
    <m/>
    <m/>
    <m/>
    <m/>
    <m/>
    <m/>
    <m/>
    <m/>
    <m/>
    <m/>
    <m/>
    <m/>
    <m/>
    <m/>
    <m/>
  </r>
  <r>
    <x v="17"/>
    <x v="5"/>
    <n v="9.8000000000000007"/>
    <m/>
    <m/>
    <m/>
    <m/>
    <m/>
    <m/>
    <m/>
    <m/>
    <m/>
    <m/>
    <m/>
    <m/>
    <m/>
    <m/>
    <m/>
    <m/>
    <m/>
    <m/>
    <m/>
    <m/>
    <m/>
    <m/>
  </r>
  <r>
    <x v="17"/>
    <x v="6"/>
    <n v="9.4"/>
    <m/>
    <m/>
    <m/>
    <m/>
    <m/>
    <m/>
    <m/>
    <m/>
    <m/>
    <m/>
    <m/>
    <m/>
    <m/>
    <m/>
    <m/>
    <m/>
    <m/>
    <m/>
    <m/>
    <m/>
    <m/>
    <m/>
  </r>
  <r>
    <x v="17"/>
    <x v="7"/>
    <n v="66.107509578594531"/>
    <m/>
    <m/>
    <m/>
    <m/>
    <m/>
    <m/>
    <m/>
    <m/>
    <m/>
    <m/>
    <m/>
    <m/>
    <m/>
    <m/>
    <m/>
    <m/>
    <m/>
    <m/>
    <m/>
    <m/>
    <m/>
    <m/>
  </r>
  <r>
    <x v="18"/>
    <x v="0"/>
    <n v="2.8"/>
    <m/>
    <m/>
    <m/>
    <m/>
    <m/>
    <m/>
    <m/>
    <m/>
    <m/>
    <m/>
    <m/>
    <m/>
    <m/>
    <m/>
    <m/>
    <m/>
    <m/>
    <m/>
    <m/>
    <m/>
    <m/>
    <m/>
  </r>
  <r>
    <x v="18"/>
    <x v="1"/>
    <n v="7.63"/>
    <m/>
    <m/>
    <m/>
    <m/>
    <m/>
    <m/>
    <m/>
    <m/>
    <m/>
    <m/>
    <m/>
    <m/>
    <m/>
    <m/>
    <m/>
    <m/>
    <m/>
    <m/>
    <m/>
    <m/>
    <m/>
    <m/>
  </r>
  <r>
    <x v="18"/>
    <x v="2"/>
    <n v="7.35"/>
    <m/>
    <m/>
    <m/>
    <m/>
    <m/>
    <m/>
    <m/>
    <m/>
    <m/>
    <m/>
    <m/>
    <m/>
    <m/>
    <m/>
    <m/>
    <m/>
    <m/>
    <m/>
    <m/>
    <m/>
    <m/>
    <m/>
  </r>
  <r>
    <x v="18"/>
    <x v="3"/>
    <n v="7.21"/>
    <m/>
    <m/>
    <m/>
    <m/>
    <m/>
    <m/>
    <m/>
    <m/>
    <m/>
    <m/>
    <m/>
    <m/>
    <m/>
    <m/>
    <m/>
    <m/>
    <m/>
    <m/>
    <m/>
    <m/>
    <m/>
    <m/>
  </r>
  <r>
    <x v="18"/>
    <x v="4"/>
    <n v="7.07"/>
    <m/>
    <m/>
    <m/>
    <m/>
    <m/>
    <m/>
    <m/>
    <m/>
    <m/>
    <m/>
    <m/>
    <m/>
    <m/>
    <m/>
    <m/>
    <m/>
    <m/>
    <m/>
    <m/>
    <m/>
    <m/>
    <m/>
  </r>
  <r>
    <x v="18"/>
    <x v="5"/>
    <n v="6.86"/>
    <m/>
    <m/>
    <m/>
    <m/>
    <m/>
    <m/>
    <m/>
    <m/>
    <m/>
    <m/>
    <m/>
    <m/>
    <m/>
    <m/>
    <m/>
    <m/>
    <m/>
    <m/>
    <m/>
    <m/>
    <m/>
    <m/>
  </r>
  <r>
    <x v="18"/>
    <x v="6"/>
    <n v="6.58"/>
    <m/>
    <m/>
    <m/>
    <m/>
    <m/>
    <m/>
    <m/>
    <m/>
    <m/>
    <m/>
    <m/>
    <m/>
    <m/>
    <m/>
    <m/>
    <m/>
    <m/>
    <m/>
    <m/>
    <m/>
    <m/>
    <m/>
  </r>
  <r>
    <x v="18"/>
    <x v="7"/>
    <n v="45.5"/>
    <m/>
    <m/>
    <m/>
    <m/>
    <m/>
    <m/>
    <m/>
    <m/>
    <m/>
    <m/>
    <m/>
    <m/>
    <m/>
    <m/>
    <m/>
    <m/>
    <m/>
    <m/>
    <m/>
    <m/>
    <m/>
    <m/>
  </r>
  <r>
    <x v="19"/>
    <x v="0"/>
    <n v="44.4"/>
    <m/>
    <m/>
    <m/>
    <m/>
    <m/>
    <m/>
    <m/>
    <m/>
    <m/>
    <m/>
    <m/>
    <m/>
    <m/>
    <m/>
    <m/>
    <m/>
    <m/>
    <m/>
    <m/>
    <m/>
    <m/>
    <m/>
  </r>
  <r>
    <x v="19"/>
    <x v="1"/>
    <n v="120.99000000000001"/>
    <m/>
    <m/>
    <m/>
    <m/>
    <m/>
    <m/>
    <m/>
    <m/>
    <m/>
    <m/>
    <m/>
    <m/>
    <m/>
    <m/>
    <m/>
    <m/>
    <m/>
    <m/>
    <m/>
    <m/>
    <m/>
    <m/>
  </r>
  <r>
    <x v="19"/>
    <x v="2"/>
    <n v="116.55000000000001"/>
    <m/>
    <m/>
    <m/>
    <m/>
    <m/>
    <m/>
    <m/>
    <m/>
    <m/>
    <m/>
    <m/>
    <m/>
    <m/>
    <m/>
    <m/>
    <m/>
    <m/>
    <m/>
    <m/>
    <m/>
    <m/>
    <m/>
  </r>
  <r>
    <x v="19"/>
    <x v="3"/>
    <n v="114.33"/>
    <m/>
    <m/>
    <m/>
    <m/>
    <m/>
    <m/>
    <m/>
    <m/>
    <m/>
    <m/>
    <m/>
    <m/>
    <m/>
    <m/>
    <m/>
    <m/>
    <m/>
    <m/>
    <m/>
    <m/>
    <m/>
    <m/>
  </r>
  <r>
    <x v="19"/>
    <x v="4"/>
    <n v="112.11"/>
    <m/>
    <m/>
    <m/>
    <m/>
    <m/>
    <m/>
    <m/>
    <m/>
    <m/>
    <m/>
    <m/>
    <m/>
    <m/>
    <m/>
    <m/>
    <m/>
    <m/>
    <m/>
    <m/>
    <m/>
    <m/>
    <m/>
  </r>
  <r>
    <x v="19"/>
    <x v="5"/>
    <n v="108.78"/>
    <m/>
    <m/>
    <m/>
    <m/>
    <m/>
    <m/>
    <m/>
    <m/>
    <m/>
    <m/>
    <m/>
    <m/>
    <m/>
    <m/>
    <m/>
    <m/>
    <m/>
    <m/>
    <m/>
    <m/>
    <m/>
    <m/>
  </r>
  <r>
    <x v="19"/>
    <x v="6"/>
    <n v="104.34"/>
    <m/>
    <m/>
    <m/>
    <m/>
    <m/>
    <m/>
    <m/>
    <m/>
    <m/>
    <m/>
    <m/>
    <m/>
    <m/>
    <m/>
    <m/>
    <m/>
    <m/>
    <m/>
    <m/>
    <m/>
    <m/>
    <m/>
  </r>
  <r>
    <x v="19"/>
    <x v="7"/>
    <n v="720.51722497306434"/>
    <m/>
    <m/>
    <m/>
    <m/>
    <m/>
    <m/>
    <m/>
    <m/>
    <m/>
    <m/>
    <m/>
    <m/>
    <m/>
    <m/>
    <m/>
    <m/>
    <m/>
    <m/>
    <m/>
    <m/>
    <m/>
    <m/>
  </r>
  <r>
    <x v="20"/>
    <x v="0"/>
    <n v="704"/>
    <m/>
    <m/>
    <m/>
    <m/>
    <m/>
    <m/>
    <m/>
    <m/>
    <m/>
    <m/>
    <m/>
    <m/>
    <m/>
    <m/>
    <m/>
    <m/>
    <m/>
    <m/>
    <m/>
    <m/>
    <m/>
    <m/>
  </r>
  <r>
    <x v="20"/>
    <x v="1"/>
    <n v="1918.3999999999999"/>
    <m/>
    <m/>
    <m/>
    <m/>
    <m/>
    <m/>
    <m/>
    <m/>
    <m/>
    <m/>
    <m/>
    <m/>
    <m/>
    <m/>
    <m/>
    <m/>
    <m/>
    <m/>
    <m/>
    <m/>
    <m/>
    <m/>
  </r>
  <r>
    <x v="20"/>
    <x v="2"/>
    <n v="1848"/>
    <m/>
    <m/>
    <m/>
    <m/>
    <m/>
    <m/>
    <m/>
    <m/>
    <m/>
    <m/>
    <m/>
    <m/>
    <m/>
    <m/>
    <m/>
    <m/>
    <m/>
    <m/>
    <m/>
    <m/>
    <m/>
    <m/>
  </r>
  <r>
    <x v="20"/>
    <x v="3"/>
    <n v="1812.8"/>
    <m/>
    <m/>
    <m/>
    <m/>
    <m/>
    <m/>
    <m/>
    <m/>
    <m/>
    <m/>
    <m/>
    <m/>
    <m/>
    <m/>
    <m/>
    <m/>
    <m/>
    <m/>
    <m/>
    <m/>
    <m/>
    <m/>
  </r>
  <r>
    <x v="20"/>
    <x v="4"/>
    <n v="1777.6"/>
    <m/>
    <m/>
    <m/>
    <m/>
    <m/>
    <m/>
    <m/>
    <m/>
    <m/>
    <m/>
    <m/>
    <m/>
    <m/>
    <m/>
    <m/>
    <m/>
    <m/>
    <m/>
    <m/>
    <m/>
    <m/>
    <m/>
  </r>
  <r>
    <x v="20"/>
    <x v="5"/>
    <n v="1724.8"/>
    <m/>
    <m/>
    <m/>
    <m/>
    <m/>
    <m/>
    <m/>
    <m/>
    <m/>
    <m/>
    <m/>
    <m/>
    <m/>
    <m/>
    <m/>
    <m/>
    <m/>
    <m/>
    <m/>
    <m/>
    <m/>
    <m/>
  </r>
  <r>
    <x v="20"/>
    <x v="6"/>
    <n v="1654.3999999999999"/>
    <m/>
    <m/>
    <m/>
    <m/>
    <m/>
    <m/>
    <m/>
    <m/>
    <m/>
    <m/>
    <m/>
    <m/>
    <m/>
    <m/>
    <m/>
    <m/>
    <m/>
    <m/>
    <m/>
    <m/>
    <m/>
    <m/>
  </r>
  <r>
    <x v="20"/>
    <x v="7"/>
    <n v="11439.026445645028"/>
    <m/>
    <m/>
    <m/>
    <m/>
    <m/>
    <m/>
    <m/>
    <m/>
    <m/>
    <m/>
    <m/>
    <m/>
    <m/>
    <m/>
    <m/>
    <m/>
    <m/>
    <m/>
    <m/>
    <m/>
    <m/>
    <m/>
  </r>
  <r>
    <x v="21"/>
    <x v="0"/>
    <n v="75.2"/>
    <m/>
    <m/>
    <m/>
    <m/>
    <m/>
    <m/>
    <m/>
    <m/>
    <m/>
    <m/>
    <m/>
    <m/>
    <m/>
    <m/>
    <m/>
    <m/>
    <m/>
    <m/>
    <m/>
    <m/>
    <m/>
    <m/>
  </r>
  <r>
    <x v="21"/>
    <x v="1"/>
    <n v="204.92000000000002"/>
    <m/>
    <m/>
    <m/>
    <m/>
    <m/>
    <m/>
    <m/>
    <m/>
    <m/>
    <m/>
    <m/>
    <m/>
    <m/>
    <m/>
    <m/>
    <m/>
    <m/>
    <m/>
    <m/>
    <m/>
    <m/>
    <m/>
  </r>
  <r>
    <x v="21"/>
    <x v="2"/>
    <n v="197.4"/>
    <m/>
    <m/>
    <m/>
    <m/>
    <m/>
    <m/>
    <m/>
    <m/>
    <m/>
    <m/>
    <m/>
    <m/>
    <m/>
    <m/>
    <m/>
    <m/>
    <m/>
    <m/>
    <m/>
    <m/>
    <m/>
    <m/>
  </r>
  <r>
    <x v="21"/>
    <x v="3"/>
    <n v="193.64000000000001"/>
    <m/>
    <m/>
    <m/>
    <m/>
    <m/>
    <m/>
    <m/>
    <m/>
    <m/>
    <m/>
    <m/>
    <m/>
    <m/>
    <m/>
    <m/>
    <m/>
    <m/>
    <m/>
    <m/>
    <m/>
    <m/>
    <m/>
  </r>
  <r>
    <x v="21"/>
    <x v="4"/>
    <n v="189.88"/>
    <m/>
    <m/>
    <m/>
    <m/>
    <m/>
    <m/>
    <m/>
    <m/>
    <m/>
    <m/>
    <m/>
    <m/>
    <m/>
    <m/>
    <m/>
    <m/>
    <m/>
    <m/>
    <m/>
    <m/>
    <m/>
    <m/>
  </r>
  <r>
    <x v="21"/>
    <x v="5"/>
    <n v="184.24"/>
    <m/>
    <m/>
    <m/>
    <m/>
    <m/>
    <m/>
    <m/>
    <m/>
    <m/>
    <m/>
    <m/>
    <m/>
    <m/>
    <m/>
    <m/>
    <m/>
    <m/>
    <m/>
    <m/>
    <m/>
    <m/>
    <m/>
  </r>
  <r>
    <x v="21"/>
    <x v="6"/>
    <n v="176.72"/>
    <m/>
    <m/>
    <m/>
    <m/>
    <m/>
    <m/>
    <m/>
    <m/>
    <m/>
    <m/>
    <m/>
    <m/>
    <m/>
    <m/>
    <m/>
    <m/>
    <m/>
    <m/>
    <m/>
    <m/>
    <m/>
    <m/>
  </r>
  <r>
    <x v="21"/>
    <x v="7"/>
    <n v="1223.1540173381704"/>
    <m/>
    <m/>
    <m/>
    <m/>
    <m/>
    <m/>
    <m/>
    <m/>
    <m/>
    <m/>
    <m/>
    <m/>
    <m/>
    <m/>
    <m/>
    <m/>
    <m/>
    <m/>
    <m/>
    <m/>
    <m/>
    <m/>
  </r>
  <r>
    <x v="22"/>
    <x v="0"/>
    <n v="370"/>
    <m/>
    <m/>
    <m/>
    <m/>
    <m/>
    <m/>
    <m/>
    <m/>
    <m/>
    <m/>
    <m/>
    <m/>
    <m/>
    <m/>
    <m/>
    <m/>
    <m/>
    <m/>
    <m/>
    <m/>
    <m/>
    <m/>
  </r>
  <r>
    <x v="22"/>
    <x v="1"/>
    <n v="1008.25"/>
    <m/>
    <m/>
    <m/>
    <m/>
    <m/>
    <m/>
    <m/>
    <m/>
    <m/>
    <m/>
    <m/>
    <m/>
    <m/>
    <m/>
    <m/>
    <m/>
    <m/>
    <m/>
    <m/>
    <m/>
    <m/>
    <m/>
  </r>
  <r>
    <x v="22"/>
    <x v="2"/>
    <n v="971.25"/>
    <m/>
    <m/>
    <m/>
    <m/>
    <m/>
    <m/>
    <m/>
    <m/>
    <m/>
    <m/>
    <m/>
    <m/>
    <m/>
    <m/>
    <m/>
    <m/>
    <m/>
    <m/>
    <m/>
    <m/>
    <m/>
    <m/>
  </r>
  <r>
    <x v="22"/>
    <x v="3"/>
    <n v="952.75"/>
    <m/>
    <m/>
    <m/>
    <m/>
    <m/>
    <m/>
    <m/>
    <m/>
    <m/>
    <m/>
    <m/>
    <m/>
    <m/>
    <m/>
    <m/>
    <m/>
    <m/>
    <m/>
    <m/>
    <m/>
    <m/>
    <m/>
  </r>
  <r>
    <x v="22"/>
    <x v="4"/>
    <n v="934.25"/>
    <m/>
    <m/>
    <m/>
    <m/>
    <m/>
    <m/>
    <m/>
    <m/>
    <m/>
    <m/>
    <m/>
    <m/>
    <m/>
    <m/>
    <m/>
    <m/>
    <m/>
    <m/>
    <m/>
    <m/>
    <m/>
    <m/>
  </r>
  <r>
    <x v="22"/>
    <x v="5"/>
    <n v="906.5"/>
    <m/>
    <m/>
    <m/>
    <m/>
    <m/>
    <m/>
    <m/>
    <m/>
    <m/>
    <m/>
    <m/>
    <m/>
    <m/>
    <m/>
    <m/>
    <m/>
    <m/>
    <m/>
    <m/>
    <m/>
    <m/>
    <m/>
  </r>
  <r>
    <x v="22"/>
    <x v="6"/>
    <n v="869.5"/>
    <m/>
    <m/>
    <m/>
    <m/>
    <m/>
    <m/>
    <m/>
    <m/>
    <m/>
    <m/>
    <m/>
    <m/>
    <m/>
    <m/>
    <m/>
    <m/>
    <m/>
    <m/>
    <m/>
    <m/>
    <m/>
    <m/>
  </r>
  <r>
    <x v="22"/>
    <x v="7"/>
    <n v="6012.6772892979297"/>
    <m/>
    <m/>
    <m/>
    <m/>
    <m/>
    <m/>
    <m/>
    <m/>
    <m/>
    <m/>
    <m/>
    <m/>
    <m/>
    <m/>
    <m/>
    <m/>
    <m/>
    <m/>
    <m/>
    <m/>
    <m/>
    <m/>
  </r>
  <r>
    <x v="23"/>
    <x v="0"/>
    <n v="94"/>
    <m/>
    <m/>
    <m/>
    <m/>
    <m/>
    <m/>
    <m/>
    <m/>
    <m/>
    <m/>
    <m/>
    <m/>
    <m/>
    <m/>
    <m/>
    <m/>
    <m/>
    <m/>
    <m/>
    <m/>
    <m/>
    <m/>
  </r>
  <r>
    <x v="23"/>
    <x v="1"/>
    <n v="256.14999999999998"/>
    <m/>
    <m/>
    <m/>
    <m/>
    <m/>
    <m/>
    <m/>
    <m/>
    <m/>
    <m/>
    <m/>
    <m/>
    <m/>
    <m/>
    <m/>
    <m/>
    <m/>
    <m/>
    <m/>
    <m/>
    <m/>
    <m/>
  </r>
  <r>
    <x v="23"/>
    <x v="2"/>
    <n v="246.75"/>
    <m/>
    <m/>
    <m/>
    <m/>
    <m/>
    <m/>
    <m/>
    <m/>
    <m/>
    <m/>
    <m/>
    <m/>
    <m/>
    <m/>
    <m/>
    <m/>
    <m/>
    <m/>
    <m/>
    <m/>
    <m/>
    <m/>
  </r>
  <r>
    <x v="23"/>
    <x v="3"/>
    <n v="242.05"/>
    <m/>
    <m/>
    <m/>
    <m/>
    <m/>
    <m/>
    <m/>
    <m/>
    <m/>
    <m/>
    <m/>
    <m/>
    <m/>
    <m/>
    <m/>
    <m/>
    <m/>
    <m/>
    <m/>
    <m/>
    <m/>
    <m/>
  </r>
  <r>
    <x v="23"/>
    <x v="4"/>
    <n v="237.35"/>
    <m/>
    <m/>
    <m/>
    <m/>
    <m/>
    <m/>
    <m/>
    <m/>
    <m/>
    <m/>
    <m/>
    <m/>
    <m/>
    <m/>
    <m/>
    <m/>
    <m/>
    <m/>
    <m/>
    <m/>
    <m/>
    <m/>
  </r>
  <r>
    <x v="23"/>
    <x v="5"/>
    <n v="230.3"/>
    <m/>
    <m/>
    <m/>
    <m/>
    <m/>
    <m/>
    <m/>
    <m/>
    <m/>
    <m/>
    <m/>
    <m/>
    <m/>
    <m/>
    <m/>
    <m/>
    <m/>
    <m/>
    <m/>
    <m/>
    <m/>
    <m/>
  </r>
  <r>
    <x v="23"/>
    <x v="6"/>
    <n v="220.9"/>
    <m/>
    <m/>
    <m/>
    <m/>
    <m/>
    <m/>
    <m/>
    <m/>
    <m/>
    <m/>
    <m/>
    <m/>
    <m/>
    <m/>
    <m/>
    <m/>
    <m/>
    <m/>
    <m/>
    <m/>
    <m/>
    <m/>
  </r>
  <r>
    <x v="23"/>
    <x v="7"/>
    <n v="1530.5530743711365"/>
    <m/>
    <m/>
    <m/>
    <m/>
    <m/>
    <m/>
    <m/>
    <m/>
    <m/>
    <m/>
    <m/>
    <m/>
    <m/>
    <m/>
    <m/>
    <m/>
    <m/>
    <m/>
    <m/>
    <m/>
    <m/>
    <m/>
  </r>
  <r>
    <x v="24"/>
    <x v="0"/>
    <n v="22"/>
    <m/>
    <m/>
    <m/>
    <m/>
    <m/>
    <m/>
    <m/>
    <m/>
    <m/>
    <m/>
    <m/>
    <m/>
    <m/>
    <m/>
    <m/>
    <m/>
    <m/>
    <m/>
    <m/>
    <m/>
    <m/>
    <m/>
  </r>
  <r>
    <x v="24"/>
    <x v="1"/>
    <n v="59.949999999999996"/>
    <m/>
    <m/>
    <m/>
    <m/>
    <m/>
    <m/>
    <m/>
    <m/>
    <m/>
    <m/>
    <m/>
    <m/>
    <m/>
    <m/>
    <m/>
    <m/>
    <m/>
    <m/>
    <m/>
    <m/>
    <m/>
    <m/>
  </r>
  <r>
    <x v="24"/>
    <x v="2"/>
    <n v="57.75"/>
    <m/>
    <m/>
    <m/>
    <m/>
    <m/>
    <m/>
    <m/>
    <m/>
    <m/>
    <m/>
    <m/>
    <m/>
    <m/>
    <m/>
    <m/>
    <m/>
    <m/>
    <m/>
    <m/>
    <m/>
    <m/>
    <m/>
  </r>
  <r>
    <x v="24"/>
    <x v="3"/>
    <n v="56.65"/>
    <m/>
    <m/>
    <m/>
    <m/>
    <m/>
    <m/>
    <m/>
    <m/>
    <m/>
    <m/>
    <m/>
    <m/>
    <m/>
    <m/>
    <m/>
    <m/>
    <m/>
    <m/>
    <m/>
    <m/>
    <m/>
    <m/>
  </r>
  <r>
    <x v="24"/>
    <x v="4"/>
    <n v="55.55"/>
    <m/>
    <m/>
    <m/>
    <m/>
    <m/>
    <m/>
    <m/>
    <m/>
    <m/>
    <m/>
    <m/>
    <m/>
    <m/>
    <m/>
    <m/>
    <m/>
    <m/>
    <m/>
    <m/>
    <m/>
    <m/>
    <m/>
  </r>
  <r>
    <x v="24"/>
    <x v="5"/>
    <n v="53.9"/>
    <m/>
    <m/>
    <m/>
    <m/>
    <m/>
    <m/>
    <m/>
    <m/>
    <m/>
    <m/>
    <m/>
    <m/>
    <m/>
    <m/>
    <m/>
    <m/>
    <m/>
    <m/>
    <m/>
    <m/>
    <m/>
    <m/>
  </r>
  <r>
    <x v="24"/>
    <x v="6"/>
    <n v="51.699999999999996"/>
    <m/>
    <m/>
    <m/>
    <m/>
    <m/>
    <m/>
    <m/>
    <m/>
    <m/>
    <m/>
    <m/>
    <m/>
    <m/>
    <m/>
    <m/>
    <m/>
    <m/>
    <m/>
    <m/>
    <m/>
    <m/>
    <m/>
  </r>
  <r>
    <x v="24"/>
    <x v="7"/>
    <n v="357.74648753348293"/>
    <m/>
    <m/>
    <m/>
    <m/>
    <m/>
    <m/>
    <m/>
    <m/>
    <m/>
    <m/>
    <m/>
    <m/>
    <m/>
    <m/>
    <m/>
    <m/>
    <m/>
    <m/>
    <m/>
    <m/>
    <m/>
    <m/>
  </r>
  <r>
    <x v="25"/>
    <x v="0"/>
    <n v="420.8"/>
    <m/>
    <m/>
    <m/>
    <m/>
    <m/>
    <m/>
    <m/>
    <m/>
    <m/>
    <m/>
    <m/>
    <m/>
    <m/>
    <m/>
    <m/>
    <m/>
    <m/>
    <m/>
    <m/>
    <m/>
    <m/>
    <m/>
  </r>
  <r>
    <x v="25"/>
    <x v="1"/>
    <n v="1146.68"/>
    <m/>
    <m/>
    <m/>
    <m/>
    <m/>
    <m/>
    <m/>
    <m/>
    <m/>
    <m/>
    <m/>
    <m/>
    <m/>
    <m/>
    <m/>
    <m/>
    <m/>
    <m/>
    <m/>
    <m/>
    <m/>
    <m/>
  </r>
  <r>
    <x v="25"/>
    <x v="2"/>
    <n v="1104.5999999999999"/>
    <m/>
    <m/>
    <m/>
    <m/>
    <m/>
    <m/>
    <m/>
    <m/>
    <m/>
    <m/>
    <m/>
    <m/>
    <m/>
    <m/>
    <m/>
    <m/>
    <m/>
    <m/>
    <m/>
    <m/>
    <m/>
    <m/>
  </r>
  <r>
    <x v="25"/>
    <x v="3"/>
    <n v="1083.56"/>
    <m/>
    <m/>
    <m/>
    <m/>
    <m/>
    <m/>
    <m/>
    <m/>
    <m/>
    <m/>
    <m/>
    <m/>
    <m/>
    <m/>
    <m/>
    <m/>
    <m/>
    <m/>
    <m/>
    <m/>
    <m/>
    <m/>
  </r>
  <r>
    <x v="25"/>
    <x v="4"/>
    <n v="1062.52"/>
    <m/>
    <m/>
    <m/>
    <m/>
    <m/>
    <m/>
    <m/>
    <m/>
    <m/>
    <m/>
    <m/>
    <m/>
    <m/>
    <m/>
    <m/>
    <m/>
    <m/>
    <m/>
    <m/>
    <m/>
    <m/>
    <m/>
  </r>
  <r>
    <x v="25"/>
    <x v="5"/>
    <n v="1030.96"/>
    <m/>
    <m/>
    <m/>
    <m/>
    <m/>
    <m/>
    <m/>
    <m/>
    <m/>
    <m/>
    <m/>
    <m/>
    <m/>
    <m/>
    <m/>
    <m/>
    <m/>
    <m/>
    <m/>
    <m/>
    <m/>
    <m/>
  </r>
  <r>
    <x v="25"/>
    <x v="6"/>
    <n v="988.88"/>
    <m/>
    <m/>
    <m/>
    <m/>
    <m/>
    <m/>
    <m/>
    <m/>
    <m/>
    <m/>
    <m/>
    <m/>
    <m/>
    <m/>
    <m/>
    <m/>
    <m/>
    <m/>
    <m/>
    <m/>
    <m/>
    <m/>
  </r>
  <r>
    <x v="25"/>
    <x v="7"/>
    <n v="6837.7846306189786"/>
    <m/>
    <m/>
    <m/>
    <m/>
    <m/>
    <m/>
    <m/>
    <m/>
    <m/>
    <m/>
    <m/>
    <m/>
    <m/>
    <m/>
    <m/>
    <m/>
    <m/>
    <m/>
    <m/>
    <m/>
    <m/>
    <m/>
  </r>
  <r>
    <x v="26"/>
    <x v="0"/>
    <n v="24.8"/>
    <m/>
    <m/>
    <m/>
    <m/>
    <m/>
    <m/>
    <m/>
    <m/>
    <m/>
    <m/>
    <m/>
    <m/>
    <m/>
    <m/>
    <m/>
    <m/>
    <m/>
    <m/>
    <m/>
    <m/>
    <m/>
    <m/>
  </r>
  <r>
    <x v="26"/>
    <x v="1"/>
    <n v="67.58"/>
    <m/>
    <m/>
    <m/>
    <m/>
    <m/>
    <m/>
    <m/>
    <m/>
    <m/>
    <m/>
    <m/>
    <m/>
    <m/>
    <m/>
    <m/>
    <m/>
    <m/>
    <m/>
    <m/>
    <m/>
    <m/>
    <m/>
  </r>
  <r>
    <x v="26"/>
    <x v="2"/>
    <n v="65.099999999999994"/>
    <m/>
    <m/>
    <m/>
    <m/>
    <m/>
    <m/>
    <m/>
    <m/>
    <m/>
    <m/>
    <m/>
    <m/>
    <m/>
    <m/>
    <m/>
    <m/>
    <m/>
    <m/>
    <m/>
    <m/>
    <m/>
    <m/>
  </r>
  <r>
    <x v="26"/>
    <x v="3"/>
    <n v="63.86"/>
    <m/>
    <m/>
    <m/>
    <m/>
    <m/>
    <m/>
    <m/>
    <m/>
    <m/>
    <m/>
    <m/>
    <m/>
    <m/>
    <m/>
    <m/>
    <m/>
    <m/>
    <m/>
    <m/>
    <m/>
    <m/>
    <m/>
  </r>
  <r>
    <x v="26"/>
    <x v="4"/>
    <n v="62.62"/>
    <m/>
    <m/>
    <m/>
    <m/>
    <m/>
    <m/>
    <m/>
    <m/>
    <m/>
    <m/>
    <m/>
    <m/>
    <m/>
    <m/>
    <m/>
    <m/>
    <m/>
    <m/>
    <m/>
    <m/>
    <m/>
    <m/>
  </r>
  <r>
    <x v="26"/>
    <x v="5"/>
    <n v="60.76"/>
    <m/>
    <m/>
    <m/>
    <m/>
    <m/>
    <m/>
    <m/>
    <m/>
    <m/>
    <m/>
    <m/>
    <m/>
    <m/>
    <m/>
    <m/>
    <m/>
    <m/>
    <m/>
    <m/>
    <m/>
    <m/>
    <m/>
  </r>
  <r>
    <x v="26"/>
    <x v="6"/>
    <n v="58.28"/>
    <m/>
    <m/>
    <m/>
    <m/>
    <m/>
    <m/>
    <m/>
    <m/>
    <m/>
    <m/>
    <m/>
    <m/>
    <m/>
    <m/>
    <m/>
    <m/>
    <m/>
    <m/>
    <m/>
    <m/>
    <m/>
    <m/>
  </r>
  <r>
    <x v="26"/>
    <x v="7"/>
    <n v="400.41623104038547"/>
    <m/>
    <m/>
    <m/>
    <m/>
    <m/>
    <m/>
    <m/>
    <m/>
    <m/>
    <m/>
    <m/>
    <m/>
    <m/>
    <m/>
    <m/>
    <m/>
    <m/>
    <m/>
    <m/>
    <m/>
    <m/>
    <m/>
  </r>
  <r>
    <x v="27"/>
    <x v="0"/>
    <n v="4013.6000000000008"/>
    <m/>
    <m/>
    <m/>
    <m/>
    <m/>
    <m/>
    <m/>
    <m/>
    <m/>
    <m/>
    <m/>
    <m/>
    <m/>
    <m/>
    <m/>
    <m/>
    <m/>
    <m/>
    <m/>
    <m/>
    <m/>
    <m/>
  </r>
  <r>
    <x v="27"/>
    <x v="1"/>
    <n v="10937.060000000001"/>
    <m/>
    <m/>
    <m/>
    <m/>
    <m/>
    <m/>
    <m/>
    <m/>
    <m/>
    <m/>
    <m/>
    <m/>
    <m/>
    <m/>
    <m/>
    <m/>
    <m/>
    <m/>
    <m/>
    <m/>
    <m/>
    <m/>
  </r>
  <r>
    <x v="27"/>
    <x v="2"/>
    <n v="10535.7"/>
    <m/>
    <m/>
    <m/>
    <m/>
    <m/>
    <m/>
    <m/>
    <m/>
    <m/>
    <m/>
    <m/>
    <m/>
    <m/>
    <m/>
    <m/>
    <m/>
    <m/>
    <m/>
    <m/>
    <m/>
    <m/>
    <m/>
  </r>
  <r>
    <x v="27"/>
    <x v="3"/>
    <n v="10335.02"/>
    <m/>
    <m/>
    <m/>
    <m/>
    <m/>
    <m/>
    <m/>
    <m/>
    <m/>
    <m/>
    <m/>
    <m/>
    <m/>
    <m/>
    <m/>
    <m/>
    <m/>
    <m/>
    <m/>
    <m/>
    <m/>
    <m/>
  </r>
  <r>
    <x v="27"/>
    <x v="4"/>
    <n v="10134.340000000004"/>
    <m/>
    <m/>
    <m/>
    <m/>
    <m/>
    <m/>
    <m/>
    <m/>
    <m/>
    <m/>
    <m/>
    <m/>
    <m/>
    <m/>
    <m/>
    <m/>
    <m/>
    <m/>
    <m/>
    <m/>
    <m/>
    <m/>
  </r>
  <r>
    <x v="27"/>
    <x v="5"/>
    <n v="9833.3199999999979"/>
    <m/>
    <m/>
    <m/>
    <m/>
    <m/>
    <m/>
    <m/>
    <m/>
    <m/>
    <m/>
    <m/>
    <m/>
    <m/>
    <m/>
    <m/>
    <m/>
    <m/>
    <m/>
    <m/>
    <m/>
    <m/>
    <m/>
  </r>
  <r>
    <x v="27"/>
    <x v="6"/>
    <n v="9431.9600000000009"/>
    <m/>
    <m/>
    <m/>
    <m/>
    <m/>
    <m/>
    <m/>
    <m/>
    <m/>
    <m/>
    <m/>
    <m/>
    <m/>
    <m/>
    <m/>
    <m/>
    <m/>
    <m/>
    <m/>
    <m/>
    <m/>
    <m/>
  </r>
  <r>
    <x v="27"/>
    <x v="7"/>
    <n v="64999.999999999993"/>
    <m/>
    <m/>
    <m/>
    <m/>
    <m/>
    <m/>
    <m/>
    <m/>
    <m/>
    <m/>
    <m/>
    <m/>
    <m/>
    <m/>
    <m/>
    <m/>
    <m/>
    <m/>
    <m/>
    <m/>
    <m/>
    <m/>
  </r>
  <r>
    <x v="0"/>
    <x v="1"/>
    <m/>
    <n v="305.07549180469454"/>
    <m/>
    <m/>
    <m/>
    <m/>
    <m/>
    <m/>
    <m/>
    <m/>
    <m/>
    <m/>
    <m/>
    <m/>
    <m/>
    <m/>
    <m/>
    <m/>
    <m/>
    <m/>
    <m/>
    <m/>
    <m/>
  </r>
  <r>
    <x v="0"/>
    <x v="2"/>
    <m/>
    <n v="1027.1228375189439"/>
    <m/>
    <m/>
    <m/>
    <m/>
    <m/>
    <m/>
    <m/>
    <m/>
    <m/>
    <m/>
    <m/>
    <m/>
    <m/>
    <m/>
    <m/>
    <m/>
    <m/>
    <m/>
    <m/>
    <m/>
    <m/>
  </r>
  <r>
    <x v="0"/>
    <x v="3"/>
    <m/>
    <n v="1373.5154438883103"/>
    <m/>
    <m/>
    <m/>
    <m/>
    <m/>
    <m/>
    <m/>
    <m/>
    <m/>
    <m/>
    <m/>
    <m/>
    <m/>
    <m/>
    <m/>
    <m/>
    <m/>
    <m/>
    <m/>
    <m/>
    <m/>
  </r>
  <r>
    <x v="0"/>
    <x v="4"/>
    <m/>
    <n v="1343.3971553154079"/>
    <m/>
    <m/>
    <m/>
    <m/>
    <m/>
    <m/>
    <m/>
    <m/>
    <m/>
    <m/>
    <m/>
    <m/>
    <m/>
    <m/>
    <m/>
    <m/>
    <m/>
    <m/>
    <m/>
    <m/>
    <m/>
  </r>
  <r>
    <x v="0"/>
    <x v="5"/>
    <m/>
    <n v="1476.2509926100879"/>
    <m/>
    <m/>
    <m/>
    <m/>
    <m/>
    <m/>
    <m/>
    <m/>
    <m/>
    <m/>
    <m/>
    <m/>
    <m/>
    <m/>
    <m/>
    <m/>
    <m/>
    <m/>
    <m/>
    <m/>
    <m/>
  </r>
  <r>
    <x v="0"/>
    <x v="6"/>
    <m/>
    <n v="1076.9438048331288"/>
    <m/>
    <m/>
    <m/>
    <m/>
    <m/>
    <m/>
    <m/>
    <m/>
    <m/>
    <m/>
    <m/>
    <m/>
    <m/>
    <m/>
    <m/>
    <m/>
    <m/>
    <m/>
    <m/>
    <m/>
    <m/>
  </r>
  <r>
    <x v="0"/>
    <x v="7"/>
    <m/>
    <n v="6602.3057259705729"/>
    <m/>
    <m/>
    <m/>
    <m/>
    <m/>
    <m/>
    <m/>
    <m/>
    <m/>
    <m/>
    <m/>
    <m/>
    <m/>
    <m/>
    <m/>
    <m/>
    <m/>
    <m/>
    <m/>
    <m/>
    <m/>
  </r>
  <r>
    <x v="1"/>
    <x v="1"/>
    <m/>
    <n v="438.33750907991919"/>
    <m/>
    <m/>
    <m/>
    <m/>
    <m/>
    <m/>
    <m/>
    <m/>
    <m/>
    <m/>
    <m/>
    <m/>
    <m/>
    <m/>
    <m/>
    <m/>
    <m/>
    <m/>
    <m/>
    <m/>
    <m/>
  </r>
  <r>
    <x v="1"/>
    <x v="2"/>
    <m/>
    <n v="1475.787069796422"/>
    <m/>
    <m/>
    <m/>
    <m/>
    <m/>
    <m/>
    <m/>
    <m/>
    <m/>
    <m/>
    <m/>
    <m/>
    <m/>
    <m/>
    <m/>
    <m/>
    <m/>
    <m/>
    <m/>
    <m/>
    <m/>
  </r>
  <r>
    <x v="1"/>
    <x v="3"/>
    <m/>
    <n v="1973.489691994776"/>
    <m/>
    <m/>
    <m/>
    <m/>
    <m/>
    <m/>
    <m/>
    <m/>
    <m/>
    <m/>
    <m/>
    <m/>
    <m/>
    <m/>
    <m/>
    <m/>
    <m/>
    <m/>
    <m/>
    <m/>
    <m/>
  </r>
  <r>
    <x v="1"/>
    <x v="4"/>
    <m/>
    <n v="1930.2152371616494"/>
    <m/>
    <m/>
    <m/>
    <m/>
    <m/>
    <m/>
    <m/>
    <m/>
    <m/>
    <m/>
    <m/>
    <m/>
    <m/>
    <m/>
    <m/>
    <m/>
    <m/>
    <m/>
    <m/>
    <m/>
    <m/>
  </r>
  <r>
    <x v="1"/>
    <x v="5"/>
    <m/>
    <n v="2121.1018264676827"/>
    <m/>
    <m/>
    <m/>
    <m/>
    <m/>
    <m/>
    <m/>
    <m/>
    <m/>
    <m/>
    <m/>
    <m/>
    <m/>
    <m/>
    <m/>
    <m/>
    <m/>
    <m/>
    <m/>
    <m/>
    <m/>
  </r>
  <r>
    <x v="1"/>
    <x v="6"/>
    <m/>
    <n v="1547.3706591016962"/>
    <m/>
    <m/>
    <m/>
    <m/>
    <m/>
    <m/>
    <m/>
    <m/>
    <m/>
    <m/>
    <m/>
    <m/>
    <m/>
    <m/>
    <m/>
    <m/>
    <m/>
    <m/>
    <m/>
    <m/>
    <m/>
  </r>
  <r>
    <x v="1"/>
    <x v="7"/>
    <m/>
    <n v="9486.3019936021446"/>
    <m/>
    <m/>
    <m/>
    <m/>
    <m/>
    <m/>
    <m/>
    <m/>
    <m/>
    <m/>
    <m/>
    <m/>
    <m/>
    <m/>
    <m/>
    <m/>
    <m/>
    <m/>
    <m/>
    <m/>
    <m/>
  </r>
  <r>
    <x v="2"/>
    <x v="1"/>
    <m/>
    <n v="103.58441086968466"/>
    <m/>
    <m/>
    <m/>
    <m/>
    <m/>
    <m/>
    <m/>
    <m/>
    <m/>
    <m/>
    <m/>
    <m/>
    <m/>
    <m/>
    <m/>
    <m/>
    <m/>
    <m/>
    <m/>
    <m/>
    <m/>
  </r>
  <r>
    <x v="2"/>
    <x v="2"/>
    <m/>
    <n v="348.74618536486929"/>
    <m/>
    <m/>
    <m/>
    <m/>
    <m/>
    <m/>
    <m/>
    <m/>
    <m/>
    <m/>
    <m/>
    <m/>
    <m/>
    <m/>
    <m/>
    <m/>
    <m/>
    <m/>
    <m/>
    <m/>
    <m/>
  </r>
  <r>
    <x v="2"/>
    <x v="3"/>
    <m/>
    <n v="466.35928449692233"/>
    <m/>
    <m/>
    <m/>
    <m/>
    <m/>
    <m/>
    <m/>
    <m/>
    <m/>
    <m/>
    <m/>
    <m/>
    <m/>
    <m/>
    <m/>
    <m/>
    <m/>
    <m/>
    <m/>
    <m/>
    <m/>
  </r>
  <r>
    <x v="2"/>
    <x v="4"/>
    <m/>
    <n v="456.13301178071055"/>
    <m/>
    <m/>
    <m/>
    <m/>
    <m/>
    <m/>
    <m/>
    <m/>
    <m/>
    <m/>
    <m/>
    <m/>
    <m/>
    <m/>
    <m/>
    <m/>
    <m/>
    <m/>
    <m/>
    <m/>
    <m/>
  </r>
  <r>
    <x v="2"/>
    <x v="5"/>
    <m/>
    <n v="501.24180235100113"/>
    <m/>
    <m/>
    <m/>
    <m/>
    <m/>
    <m/>
    <m/>
    <m/>
    <m/>
    <m/>
    <m/>
    <m/>
    <m/>
    <m/>
    <m/>
    <m/>
    <m/>
    <m/>
    <m/>
    <m/>
    <m/>
  </r>
  <r>
    <x v="2"/>
    <x v="6"/>
    <m/>
    <n v="365.66224610009687"/>
    <m/>
    <m/>
    <m/>
    <m/>
    <m/>
    <m/>
    <m/>
    <m/>
    <m/>
    <m/>
    <m/>
    <m/>
    <m/>
    <m/>
    <m/>
    <m/>
    <m/>
    <m/>
    <m/>
    <m/>
    <m/>
  </r>
  <r>
    <x v="2"/>
    <x v="7"/>
    <m/>
    <n v="2241.726940963285"/>
    <m/>
    <m/>
    <m/>
    <m/>
    <m/>
    <m/>
    <m/>
    <m/>
    <m/>
    <m/>
    <m/>
    <m/>
    <m/>
    <m/>
    <m/>
    <m/>
    <m/>
    <m/>
    <m/>
    <m/>
    <m/>
  </r>
  <r>
    <x v="3"/>
    <x v="1"/>
    <m/>
    <n v="77.466581052394261"/>
    <m/>
    <m/>
    <m/>
    <m/>
    <m/>
    <m/>
    <m/>
    <m/>
    <m/>
    <m/>
    <m/>
    <m/>
    <m/>
    <m/>
    <m/>
    <m/>
    <m/>
    <m/>
    <m/>
    <m/>
    <m/>
  </r>
  <r>
    <x v="3"/>
    <x v="2"/>
    <m/>
    <n v="260.81313209638188"/>
    <m/>
    <m/>
    <m/>
    <m/>
    <m/>
    <m/>
    <m/>
    <m/>
    <m/>
    <m/>
    <m/>
    <m/>
    <m/>
    <m/>
    <m/>
    <m/>
    <m/>
    <m/>
    <m/>
    <m/>
    <m/>
  </r>
  <r>
    <x v="3"/>
    <x v="3"/>
    <m/>
    <n v="348.77120030607375"/>
    <m/>
    <m/>
    <m/>
    <m/>
    <m/>
    <m/>
    <m/>
    <m/>
    <m/>
    <m/>
    <m/>
    <m/>
    <m/>
    <m/>
    <m/>
    <m/>
    <m/>
    <m/>
    <m/>
    <m/>
    <m/>
  </r>
  <r>
    <x v="3"/>
    <x v="4"/>
    <m/>
    <n v="341.1233855665476"/>
    <m/>
    <m/>
    <m/>
    <m/>
    <m/>
    <m/>
    <m/>
    <m/>
    <m/>
    <m/>
    <m/>
    <m/>
    <m/>
    <m/>
    <m/>
    <m/>
    <m/>
    <m/>
    <m/>
    <m/>
    <m/>
  </r>
  <r>
    <x v="3"/>
    <x v="5"/>
    <m/>
    <n v="374.85842109506052"/>
    <m/>
    <m/>
    <m/>
    <m/>
    <m/>
    <m/>
    <m/>
    <m/>
    <m/>
    <m/>
    <m/>
    <m/>
    <m/>
    <m/>
    <m/>
    <m/>
    <m/>
    <m/>
    <m/>
    <m/>
    <m/>
  </r>
  <r>
    <x v="3"/>
    <x v="6"/>
    <m/>
    <n v="273.46396805741591"/>
    <m/>
    <m/>
    <m/>
    <m/>
    <m/>
    <m/>
    <m/>
    <m/>
    <m/>
    <m/>
    <m/>
    <m/>
    <m/>
    <m/>
    <m/>
    <m/>
    <m/>
    <m/>
    <m/>
    <m/>
    <m/>
  </r>
  <r>
    <x v="3"/>
    <x v="7"/>
    <m/>
    <n v="1676.496688173874"/>
    <m/>
    <m/>
    <m/>
    <m/>
    <m/>
    <m/>
    <m/>
    <m/>
    <m/>
    <m/>
    <m/>
    <m/>
    <m/>
    <m/>
    <m/>
    <m/>
    <m/>
    <m/>
    <m/>
    <m/>
    <m/>
  </r>
  <r>
    <x v="4"/>
    <x v="1"/>
    <m/>
    <n v="21.911114280700581"/>
    <m/>
    <m/>
    <m/>
    <m/>
    <m/>
    <m/>
    <m/>
    <m/>
    <m/>
    <m/>
    <m/>
    <m/>
    <m/>
    <m/>
    <m/>
    <m/>
    <m/>
    <m/>
    <m/>
    <m/>
    <m/>
  </r>
  <r>
    <x v="4"/>
    <x v="2"/>
    <m/>
    <n v="73.769956872191855"/>
    <m/>
    <m/>
    <m/>
    <m/>
    <m/>
    <m/>
    <m/>
    <m/>
    <m/>
    <m/>
    <m/>
    <m/>
    <m/>
    <m/>
    <m/>
    <m/>
    <m/>
    <m/>
    <m/>
    <m/>
    <m/>
  </r>
  <r>
    <x v="4"/>
    <x v="3"/>
    <m/>
    <n v="98.648546559126927"/>
    <m/>
    <m/>
    <m/>
    <m/>
    <m/>
    <m/>
    <m/>
    <m/>
    <m/>
    <m/>
    <m/>
    <m/>
    <m/>
    <m/>
    <m/>
    <m/>
    <m/>
    <m/>
    <m/>
    <m/>
    <m/>
  </r>
  <r>
    <x v="4"/>
    <x v="4"/>
    <m/>
    <n v="96.485392583839868"/>
    <m/>
    <m/>
    <m/>
    <m/>
    <m/>
    <m/>
    <m/>
    <m/>
    <m/>
    <m/>
    <m/>
    <m/>
    <m/>
    <m/>
    <m/>
    <m/>
    <m/>
    <m/>
    <m/>
    <m/>
    <m/>
  </r>
  <r>
    <x v="4"/>
    <x v="5"/>
    <m/>
    <n v="106.02721318166391"/>
    <m/>
    <m/>
    <m/>
    <m/>
    <m/>
    <m/>
    <m/>
    <m/>
    <m/>
    <m/>
    <m/>
    <m/>
    <m/>
    <m/>
    <m/>
    <m/>
    <m/>
    <m/>
    <m/>
    <m/>
    <m/>
  </r>
  <r>
    <x v="4"/>
    <x v="6"/>
    <m/>
    <n v="77.348195497453176"/>
    <m/>
    <m/>
    <m/>
    <m/>
    <m/>
    <m/>
    <m/>
    <m/>
    <m/>
    <m/>
    <m/>
    <m/>
    <m/>
    <m/>
    <m/>
    <m/>
    <m/>
    <m/>
    <m/>
    <m/>
    <m/>
  </r>
  <r>
    <x v="4"/>
    <x v="7"/>
    <m/>
    <n v="474.1904189749763"/>
    <m/>
    <m/>
    <m/>
    <m/>
    <m/>
    <m/>
    <m/>
    <m/>
    <m/>
    <m/>
    <m/>
    <m/>
    <m/>
    <m/>
    <m/>
    <m/>
    <m/>
    <m/>
    <m/>
    <m/>
    <m/>
  </r>
  <r>
    <x v="5"/>
    <x v="1"/>
    <m/>
    <n v="289.32571488166718"/>
    <m/>
    <m/>
    <m/>
    <m/>
    <m/>
    <m/>
    <m/>
    <m/>
    <m/>
    <m/>
    <m/>
    <m/>
    <m/>
    <m/>
    <m/>
    <m/>
    <m/>
    <m/>
    <m/>
    <m/>
    <m/>
  </r>
  <r>
    <x v="5"/>
    <x v="2"/>
    <m/>
    <n v="974.09676365186817"/>
    <m/>
    <m/>
    <m/>
    <m/>
    <m/>
    <m/>
    <m/>
    <m/>
    <m/>
    <m/>
    <m/>
    <m/>
    <m/>
    <m/>
    <m/>
    <m/>
    <m/>
    <m/>
    <m/>
    <m/>
    <m/>
  </r>
  <r>
    <x v="5"/>
    <x v="3"/>
    <m/>
    <n v="1302.6065625697722"/>
    <m/>
    <m/>
    <m/>
    <m/>
    <m/>
    <m/>
    <m/>
    <m/>
    <m/>
    <m/>
    <m/>
    <m/>
    <m/>
    <m/>
    <m/>
    <m/>
    <m/>
    <m/>
    <m/>
    <m/>
    <m/>
  </r>
  <r>
    <x v="5"/>
    <x v="4"/>
    <m/>
    <n v="1274.0431557853756"/>
    <m/>
    <m/>
    <m/>
    <m/>
    <m/>
    <m/>
    <m/>
    <m/>
    <m/>
    <m/>
    <m/>
    <m/>
    <m/>
    <m/>
    <m/>
    <m/>
    <m/>
    <m/>
    <m/>
    <m/>
    <m/>
  </r>
  <r>
    <x v="5"/>
    <x v="5"/>
    <m/>
    <n v="1400.0383028313518"/>
    <m/>
    <m/>
    <m/>
    <m/>
    <m/>
    <m/>
    <m/>
    <m/>
    <m/>
    <m/>
    <m/>
    <m/>
    <m/>
    <m/>
    <m/>
    <m/>
    <m/>
    <m/>
    <m/>
    <m/>
    <m/>
  </r>
  <r>
    <x v="5"/>
    <x v="6"/>
    <m/>
    <n v="1021.3456819409212"/>
    <m/>
    <m/>
    <m/>
    <m/>
    <m/>
    <m/>
    <m/>
    <m/>
    <m/>
    <m/>
    <m/>
    <m/>
    <m/>
    <m/>
    <m/>
    <m/>
    <m/>
    <m/>
    <m/>
    <m/>
    <m/>
  </r>
  <r>
    <x v="5"/>
    <x v="7"/>
    <m/>
    <n v="6261.4561816609557"/>
    <m/>
    <m/>
    <m/>
    <m/>
    <m/>
    <m/>
    <m/>
    <m/>
    <m/>
    <m/>
    <m/>
    <m/>
    <m/>
    <m/>
    <m/>
    <m/>
    <m/>
    <m/>
    <m/>
    <m/>
    <m/>
  </r>
  <r>
    <x v="6"/>
    <x v="1"/>
    <m/>
    <n v="136.17826139736977"/>
    <m/>
    <m/>
    <m/>
    <m/>
    <m/>
    <m/>
    <m/>
    <m/>
    <m/>
    <m/>
    <m/>
    <m/>
    <m/>
    <m/>
    <m/>
    <m/>
    <m/>
    <m/>
    <m/>
    <m/>
    <m/>
  </r>
  <r>
    <x v="6"/>
    <x v="2"/>
    <m/>
    <n v="458.48259205432038"/>
    <m/>
    <m/>
    <m/>
    <m/>
    <m/>
    <m/>
    <m/>
    <m/>
    <m/>
    <m/>
    <m/>
    <m/>
    <m/>
    <m/>
    <m/>
    <m/>
    <m/>
    <m/>
    <m/>
    <m/>
    <m/>
  </r>
  <r>
    <x v="6"/>
    <x v="3"/>
    <m/>
    <n v="613.10380602742487"/>
    <m/>
    <m/>
    <m/>
    <m/>
    <m/>
    <m/>
    <m/>
    <m/>
    <m/>
    <m/>
    <m/>
    <m/>
    <m/>
    <m/>
    <m/>
    <m/>
    <m/>
    <m/>
    <m/>
    <m/>
    <m/>
  </r>
  <r>
    <x v="6"/>
    <x v="4"/>
    <m/>
    <n v="599.65973633221711"/>
    <m/>
    <m/>
    <m/>
    <m/>
    <m/>
    <m/>
    <m/>
    <m/>
    <m/>
    <m/>
    <m/>
    <m/>
    <m/>
    <m/>
    <m/>
    <m/>
    <m/>
    <m/>
    <m/>
    <m/>
    <m/>
  </r>
  <r>
    <x v="6"/>
    <x v="5"/>
    <m/>
    <n v="658.96245014818203"/>
    <m/>
    <m/>
    <m/>
    <m/>
    <m/>
    <m/>
    <m/>
    <m/>
    <m/>
    <m/>
    <m/>
    <m/>
    <m/>
    <m/>
    <m/>
    <m/>
    <m/>
    <m/>
    <m/>
    <m/>
    <m/>
  </r>
  <r>
    <x v="6"/>
    <x v="6"/>
    <m/>
    <n v="480.72145716225316"/>
    <m/>
    <m/>
    <m/>
    <m/>
    <m/>
    <m/>
    <m/>
    <m/>
    <m/>
    <m/>
    <m/>
    <m/>
    <m/>
    <m/>
    <m/>
    <m/>
    <m/>
    <m/>
    <m/>
    <m/>
    <m/>
  </r>
  <r>
    <x v="6"/>
    <x v="7"/>
    <m/>
    <n v="2947.1083031217672"/>
    <m/>
    <m/>
    <m/>
    <m/>
    <m/>
    <m/>
    <m/>
    <m/>
    <m/>
    <m/>
    <m/>
    <m/>
    <m/>
    <m/>
    <m/>
    <m/>
    <m/>
    <m/>
    <m/>
    <m/>
    <m/>
  </r>
  <r>
    <x v="7"/>
    <x v="1"/>
    <m/>
    <n v="29.374734411406578"/>
    <m/>
    <m/>
    <m/>
    <m/>
    <m/>
    <m/>
    <m/>
    <m/>
    <m/>
    <m/>
    <m/>
    <m/>
    <m/>
    <m/>
    <m/>
    <m/>
    <m/>
    <m/>
    <m/>
    <m/>
    <m/>
  </r>
  <r>
    <x v="7"/>
    <x v="2"/>
    <m/>
    <n v="98.898342772564249"/>
    <m/>
    <m/>
    <m/>
    <m/>
    <m/>
    <m/>
    <m/>
    <m/>
    <m/>
    <m/>
    <m/>
    <m/>
    <m/>
    <m/>
    <m/>
    <m/>
    <m/>
    <m/>
    <m/>
    <m/>
    <m/>
  </r>
  <r>
    <x v="7"/>
    <x v="3"/>
    <m/>
    <n v="132.25136878584055"/>
    <m/>
    <m/>
    <m/>
    <m/>
    <m/>
    <m/>
    <m/>
    <m/>
    <m/>
    <m/>
    <m/>
    <m/>
    <m/>
    <m/>
    <m/>
    <m/>
    <m/>
    <m/>
    <m/>
    <m/>
    <m/>
  </r>
  <r>
    <x v="7"/>
    <x v="4"/>
    <m/>
    <n v="129.35137599218314"/>
    <m/>
    <m/>
    <m/>
    <m/>
    <m/>
    <m/>
    <m/>
    <m/>
    <m/>
    <m/>
    <m/>
    <m/>
    <m/>
    <m/>
    <m/>
    <m/>
    <m/>
    <m/>
    <m/>
    <m/>
    <m/>
  </r>
  <r>
    <x v="7"/>
    <x v="5"/>
    <m/>
    <n v="142.14344317195452"/>
    <m/>
    <m/>
    <m/>
    <m/>
    <m/>
    <m/>
    <m/>
    <m/>
    <m/>
    <m/>
    <m/>
    <m/>
    <m/>
    <m/>
    <m/>
    <m/>
    <m/>
    <m/>
    <m/>
    <m/>
    <m/>
  </r>
  <r>
    <x v="7"/>
    <x v="6"/>
    <m/>
    <n v="103.69544290773487"/>
    <m/>
    <m/>
    <m/>
    <m/>
    <m/>
    <m/>
    <m/>
    <m/>
    <m/>
    <m/>
    <m/>
    <m/>
    <m/>
    <m/>
    <m/>
    <m/>
    <m/>
    <m/>
    <m/>
    <m/>
    <m/>
  </r>
  <r>
    <x v="7"/>
    <x v="7"/>
    <m/>
    <n v="635.71470804168393"/>
    <m/>
    <m/>
    <m/>
    <m/>
    <m/>
    <m/>
    <m/>
    <m/>
    <m/>
    <m/>
    <m/>
    <m/>
    <m/>
    <m/>
    <m/>
    <m/>
    <m/>
    <m/>
    <m/>
    <m/>
    <m/>
  </r>
  <r>
    <x v="8"/>
    <x v="1"/>
    <m/>
    <n v="134.10993511606782"/>
    <m/>
    <m/>
    <m/>
    <m/>
    <m/>
    <m/>
    <m/>
    <m/>
    <m/>
    <m/>
    <m/>
    <m/>
    <m/>
    <m/>
    <m/>
    <m/>
    <m/>
    <m/>
    <m/>
    <m/>
    <m/>
  </r>
  <r>
    <x v="8"/>
    <x v="2"/>
    <m/>
    <n v="451.51898725473882"/>
    <m/>
    <m/>
    <m/>
    <m/>
    <m/>
    <m/>
    <m/>
    <m/>
    <m/>
    <m/>
    <m/>
    <m/>
    <m/>
    <m/>
    <m/>
    <m/>
    <m/>
    <m/>
    <m/>
    <m/>
    <m/>
  </r>
  <r>
    <x v="8"/>
    <x v="3"/>
    <m/>
    <n v="603.79175649646152"/>
    <m/>
    <m/>
    <m/>
    <m/>
    <m/>
    <m/>
    <m/>
    <m/>
    <m/>
    <m/>
    <m/>
    <m/>
    <m/>
    <m/>
    <m/>
    <m/>
    <m/>
    <m/>
    <m/>
    <m/>
    <m/>
  </r>
  <r>
    <x v="8"/>
    <x v="4"/>
    <m/>
    <n v="590.5518803516261"/>
    <m/>
    <m/>
    <m/>
    <m/>
    <m/>
    <m/>
    <m/>
    <m/>
    <m/>
    <m/>
    <m/>
    <m/>
    <m/>
    <m/>
    <m/>
    <m/>
    <m/>
    <m/>
    <m/>
    <m/>
    <m/>
  </r>
  <r>
    <x v="8"/>
    <x v="5"/>
    <m/>
    <n v="648.95388240728903"/>
    <m/>
    <m/>
    <m/>
    <m/>
    <m/>
    <m/>
    <m/>
    <m/>
    <m/>
    <m/>
    <m/>
    <m/>
    <m/>
    <m/>
    <m/>
    <m/>
    <m/>
    <m/>
    <m/>
    <m/>
    <m/>
  </r>
  <r>
    <x v="8"/>
    <x v="6"/>
    <m/>
    <n v="473.42008017570816"/>
    <m/>
    <m/>
    <m/>
    <m/>
    <m/>
    <m/>
    <m/>
    <m/>
    <m/>
    <m/>
    <m/>
    <m/>
    <m/>
    <m/>
    <m/>
    <m/>
    <m/>
    <m/>
    <m/>
    <m/>
    <m/>
  </r>
  <r>
    <x v="8"/>
    <x v="7"/>
    <m/>
    <n v="2902.3465218018914"/>
    <m/>
    <m/>
    <m/>
    <m/>
    <m/>
    <m/>
    <m/>
    <m/>
    <m/>
    <m/>
    <m/>
    <m/>
    <m/>
    <m/>
    <m/>
    <m/>
    <m/>
    <m/>
    <m/>
    <m/>
    <m/>
  </r>
  <r>
    <x v="9"/>
    <x v="1"/>
    <m/>
    <n v="1782.0822749762519"/>
    <m/>
    <m/>
    <m/>
    <m/>
    <m/>
    <m/>
    <m/>
    <m/>
    <m/>
    <m/>
    <m/>
    <m/>
    <m/>
    <m/>
    <m/>
    <m/>
    <m/>
    <m/>
    <m/>
    <m/>
    <m/>
  </r>
  <r>
    <x v="9"/>
    <x v="2"/>
    <m/>
    <n v="5999.8834784723813"/>
    <m/>
    <m/>
    <m/>
    <m/>
    <m/>
    <m/>
    <m/>
    <m/>
    <m/>
    <m/>
    <m/>
    <m/>
    <m/>
    <m/>
    <m/>
    <m/>
    <m/>
    <m/>
    <m/>
    <m/>
    <m/>
  </r>
  <r>
    <x v="9"/>
    <x v="3"/>
    <m/>
    <n v="8023.3174827642151"/>
    <m/>
    <m/>
    <m/>
    <m/>
    <m/>
    <m/>
    <m/>
    <m/>
    <m/>
    <m/>
    <m/>
    <m/>
    <m/>
    <m/>
    <m/>
    <m/>
    <m/>
    <m/>
    <m/>
    <m/>
    <m/>
  </r>
  <r>
    <x v="9"/>
    <x v="4"/>
    <m/>
    <n v="7847.3831004220574"/>
    <m/>
    <m/>
    <m/>
    <m/>
    <m/>
    <m/>
    <m/>
    <m/>
    <m/>
    <m/>
    <m/>
    <m/>
    <m/>
    <m/>
    <m/>
    <m/>
    <m/>
    <m/>
    <m/>
    <m/>
    <m/>
  </r>
  <r>
    <x v="9"/>
    <x v="5"/>
    <m/>
    <n v="8623.4417316968265"/>
    <m/>
    <m/>
    <m/>
    <m/>
    <m/>
    <m/>
    <m/>
    <m/>
    <m/>
    <m/>
    <m/>
    <m/>
    <m/>
    <m/>
    <m/>
    <m/>
    <m/>
    <m/>
    <m/>
    <m/>
    <m/>
  </r>
  <r>
    <x v="9"/>
    <x v="6"/>
    <m/>
    <n v="6290.9100117660455"/>
    <m/>
    <m/>
    <m/>
    <m/>
    <m/>
    <m/>
    <m/>
    <m/>
    <m/>
    <m/>
    <m/>
    <m/>
    <m/>
    <m/>
    <m/>
    <m/>
    <m/>
    <m/>
    <m/>
    <m/>
    <m/>
  </r>
  <r>
    <x v="9"/>
    <x v="7"/>
    <m/>
    <n v="38567.018080097783"/>
    <m/>
    <m/>
    <m/>
    <m/>
    <m/>
    <m/>
    <m/>
    <m/>
    <m/>
    <m/>
    <m/>
    <m/>
    <m/>
    <m/>
    <m/>
    <m/>
    <m/>
    <m/>
    <m/>
    <m/>
    <m/>
  </r>
  <r>
    <x v="10"/>
    <x v="1"/>
    <m/>
    <n v="2709.2783467831937"/>
    <m/>
    <m/>
    <m/>
    <m/>
    <m/>
    <m/>
    <m/>
    <m/>
    <m/>
    <m/>
    <m/>
    <m/>
    <m/>
    <m/>
    <m/>
    <m/>
    <m/>
    <m/>
    <m/>
    <m/>
    <m/>
  </r>
  <r>
    <x v="10"/>
    <x v="2"/>
    <m/>
    <n v="9121.5510191099729"/>
    <m/>
    <m/>
    <m/>
    <m/>
    <m/>
    <m/>
    <m/>
    <m/>
    <m/>
    <m/>
    <m/>
    <m/>
    <m/>
    <m/>
    <m/>
    <m/>
    <m/>
    <m/>
    <m/>
    <m/>
    <m/>
  </r>
  <r>
    <x v="10"/>
    <x v="3"/>
    <m/>
    <n v="12197.753510403891"/>
    <m/>
    <m/>
    <m/>
    <m/>
    <m/>
    <m/>
    <m/>
    <m/>
    <m/>
    <m/>
    <m/>
    <m/>
    <m/>
    <m/>
    <m/>
    <m/>
    <m/>
    <m/>
    <m/>
    <m/>
    <m/>
  </r>
  <r>
    <x v="10"/>
    <x v="4"/>
    <m/>
    <n v="11930.282575291965"/>
    <m/>
    <m/>
    <m/>
    <m/>
    <m/>
    <m/>
    <m/>
    <m/>
    <m/>
    <m/>
    <m/>
    <m/>
    <m/>
    <m/>
    <m/>
    <m/>
    <m/>
    <m/>
    <m/>
    <m/>
    <m/>
  </r>
  <r>
    <x v="10"/>
    <x v="5"/>
    <m/>
    <n v="13110.115221107913"/>
    <m/>
    <m/>
    <m/>
    <m/>
    <m/>
    <m/>
    <m/>
    <m/>
    <m/>
    <m/>
    <m/>
    <m/>
    <m/>
    <m/>
    <m/>
    <m/>
    <m/>
    <m/>
    <m/>
    <m/>
    <m/>
  </r>
  <r>
    <x v="10"/>
    <x v="6"/>
    <m/>
    <n v="9563.9951733802409"/>
    <m/>
    <m/>
    <m/>
    <m/>
    <m/>
    <m/>
    <m/>
    <m/>
    <m/>
    <m/>
    <m/>
    <m/>
    <m/>
    <m/>
    <m/>
    <m/>
    <m/>
    <m/>
    <m/>
    <m/>
    <m/>
  </r>
  <r>
    <x v="10"/>
    <x v="7"/>
    <m/>
    <n v="58632.975846077185"/>
    <m/>
    <m/>
    <m/>
    <m/>
    <m/>
    <m/>
    <m/>
    <m/>
    <m/>
    <m/>
    <m/>
    <m/>
    <m/>
    <m/>
    <m/>
    <m/>
    <m/>
    <m/>
    <m/>
    <m/>
    <m/>
  </r>
  <r>
    <x v="11"/>
    <x v="1"/>
    <m/>
    <n v="184.89695270697058"/>
    <m/>
    <m/>
    <m/>
    <m/>
    <m/>
    <m/>
    <m/>
    <m/>
    <m/>
    <m/>
    <m/>
    <m/>
    <m/>
    <m/>
    <m/>
    <m/>
    <m/>
    <m/>
    <m/>
    <m/>
    <m/>
  </r>
  <r>
    <x v="11"/>
    <x v="2"/>
    <m/>
    <n v="622.50783106028337"/>
    <m/>
    <m/>
    <m/>
    <m/>
    <m/>
    <m/>
    <m/>
    <m/>
    <m/>
    <m/>
    <m/>
    <m/>
    <m/>
    <m/>
    <m/>
    <m/>
    <m/>
    <m/>
    <m/>
    <m/>
    <m/>
  </r>
  <r>
    <x v="11"/>
    <x v="3"/>
    <m/>
    <n v="832.4458269938375"/>
    <m/>
    <m/>
    <m/>
    <m/>
    <m/>
    <m/>
    <m/>
    <m/>
    <m/>
    <m/>
    <m/>
    <m/>
    <m/>
    <m/>
    <m/>
    <m/>
    <m/>
    <m/>
    <m/>
    <m/>
    <m/>
  </r>
  <r>
    <x v="11"/>
    <x v="4"/>
    <m/>
    <n v="814.19205070739667"/>
    <m/>
    <m/>
    <m/>
    <m/>
    <m/>
    <m/>
    <m/>
    <m/>
    <m/>
    <m/>
    <m/>
    <m/>
    <m/>
    <m/>
    <m/>
    <m/>
    <m/>
    <m/>
    <m/>
    <m/>
    <m/>
  </r>
  <r>
    <x v="11"/>
    <x v="5"/>
    <m/>
    <n v="894.71071028867743"/>
    <m/>
    <m/>
    <m/>
    <m/>
    <m/>
    <m/>
    <m/>
    <m/>
    <m/>
    <m/>
    <m/>
    <m/>
    <m/>
    <m/>
    <m/>
    <m/>
    <m/>
    <m/>
    <m/>
    <m/>
    <m/>
  </r>
  <r>
    <x v="11"/>
    <x v="6"/>
    <m/>
    <n v="652.70280012454225"/>
    <m/>
    <m/>
    <m/>
    <m/>
    <m/>
    <m/>
    <m/>
    <m/>
    <m/>
    <m/>
    <m/>
    <m/>
    <m/>
    <m/>
    <m/>
    <m/>
    <m/>
    <m/>
    <m/>
    <m/>
    <m/>
  </r>
  <r>
    <x v="11"/>
    <x v="7"/>
    <m/>
    <n v="4001.4561718817081"/>
    <m/>
    <m/>
    <m/>
    <m/>
    <m/>
    <m/>
    <m/>
    <m/>
    <m/>
    <m/>
    <m/>
    <m/>
    <m/>
    <m/>
    <m/>
    <m/>
    <m/>
    <m/>
    <m/>
    <m/>
    <m/>
  </r>
  <r>
    <x v="12"/>
    <x v="1"/>
    <m/>
    <n v="210.29763367408432"/>
    <m/>
    <m/>
    <m/>
    <m/>
    <m/>
    <m/>
    <m/>
    <m/>
    <m/>
    <m/>
    <m/>
    <m/>
    <m/>
    <m/>
    <m/>
    <m/>
    <m/>
    <m/>
    <m/>
    <m/>
    <m/>
  </r>
  <r>
    <x v="12"/>
    <x v="2"/>
    <m/>
    <n v="708.02640010534299"/>
    <m/>
    <m/>
    <m/>
    <m/>
    <m/>
    <m/>
    <m/>
    <m/>
    <m/>
    <m/>
    <m/>
    <m/>
    <m/>
    <m/>
    <m/>
    <m/>
    <m/>
    <m/>
    <m/>
    <m/>
    <m/>
  </r>
  <r>
    <x v="12"/>
    <x v="3"/>
    <m/>
    <n v="946.80515290109713"/>
    <m/>
    <m/>
    <m/>
    <m/>
    <m/>
    <m/>
    <m/>
    <m/>
    <m/>
    <m/>
    <m/>
    <m/>
    <m/>
    <m/>
    <m/>
    <m/>
    <m/>
    <m/>
    <m/>
    <m/>
    <m/>
  </r>
  <r>
    <x v="12"/>
    <x v="4"/>
    <m/>
    <n v="926.04371847800894"/>
    <m/>
    <m/>
    <m/>
    <m/>
    <m/>
    <m/>
    <m/>
    <m/>
    <m/>
    <m/>
    <m/>
    <m/>
    <m/>
    <m/>
    <m/>
    <m/>
    <m/>
    <m/>
    <m/>
    <m/>
    <m/>
  </r>
  <r>
    <x v="12"/>
    <x v="5"/>
    <m/>
    <n v="1017.6238301491198"/>
    <m/>
    <m/>
    <m/>
    <m/>
    <m/>
    <m/>
    <m/>
    <m/>
    <m/>
    <m/>
    <m/>
    <m/>
    <m/>
    <m/>
    <m/>
    <m/>
    <m/>
    <m/>
    <m/>
    <m/>
    <m/>
  </r>
  <r>
    <x v="12"/>
    <x v="6"/>
    <m/>
    <n v="742.36947850717786"/>
    <m/>
    <m/>
    <m/>
    <m/>
    <m/>
    <m/>
    <m/>
    <m/>
    <m/>
    <m/>
    <m/>
    <m/>
    <m/>
    <m/>
    <m/>
    <m/>
    <m/>
    <m/>
    <m/>
    <m/>
    <m/>
  </r>
  <r>
    <x v="12"/>
    <x v="7"/>
    <m/>
    <n v="4551.1662138148313"/>
    <m/>
    <m/>
    <m/>
    <m/>
    <m/>
    <m/>
    <m/>
    <m/>
    <m/>
    <m/>
    <m/>
    <m/>
    <m/>
    <m/>
    <m/>
    <m/>
    <m/>
    <m/>
    <m/>
    <m/>
    <m/>
  </r>
  <r>
    <x v="13"/>
    <x v="1"/>
    <m/>
    <n v="175.39592093693068"/>
    <m/>
    <m/>
    <m/>
    <m/>
    <m/>
    <m/>
    <m/>
    <m/>
    <m/>
    <m/>
    <m/>
    <m/>
    <m/>
    <m/>
    <m/>
    <m/>
    <m/>
    <m/>
    <m/>
    <m/>
    <m/>
  </r>
  <r>
    <x v="13"/>
    <x v="2"/>
    <m/>
    <n v="590.51992323696845"/>
    <m/>
    <m/>
    <m/>
    <m/>
    <m/>
    <m/>
    <m/>
    <m/>
    <m/>
    <m/>
    <m/>
    <m/>
    <m/>
    <m/>
    <m/>
    <m/>
    <m/>
    <m/>
    <m/>
    <m/>
    <m/>
  </r>
  <r>
    <x v="13"/>
    <x v="3"/>
    <m/>
    <n v="789.67013959978874"/>
    <m/>
    <m/>
    <m/>
    <m/>
    <m/>
    <m/>
    <m/>
    <m/>
    <m/>
    <m/>
    <m/>
    <m/>
    <m/>
    <m/>
    <m/>
    <m/>
    <m/>
    <m/>
    <m/>
    <m/>
    <m/>
  </r>
  <r>
    <x v="13"/>
    <x v="4"/>
    <m/>
    <n v="772.35434366338393"/>
    <m/>
    <m/>
    <m/>
    <m/>
    <m/>
    <m/>
    <m/>
    <m/>
    <m/>
    <m/>
    <m/>
    <m/>
    <m/>
    <m/>
    <m/>
    <m/>
    <m/>
    <m/>
    <m/>
    <m/>
    <m/>
  </r>
  <r>
    <x v="13"/>
    <x v="5"/>
    <m/>
    <n v="848.73550756632756"/>
    <m/>
    <m/>
    <m/>
    <m/>
    <m/>
    <m/>
    <m/>
    <m/>
    <m/>
    <m/>
    <m/>
    <m/>
    <m/>
    <m/>
    <m/>
    <m/>
    <m/>
    <m/>
    <m/>
    <m/>
    <m/>
  </r>
  <r>
    <x v="13"/>
    <x v="6"/>
    <m/>
    <n v="619.16330718219319"/>
    <m/>
    <m/>
    <m/>
    <m/>
    <m/>
    <m/>
    <m/>
    <m/>
    <m/>
    <m/>
    <m/>
    <m/>
    <m/>
    <m/>
    <m/>
    <m/>
    <m/>
    <m/>
    <m/>
    <m/>
    <m/>
  </r>
  <r>
    <x v="13"/>
    <x v="7"/>
    <m/>
    <n v="3795.8391421855931"/>
    <m/>
    <m/>
    <m/>
    <m/>
    <m/>
    <m/>
    <m/>
    <m/>
    <m/>
    <m/>
    <m/>
    <m/>
    <m/>
    <m/>
    <m/>
    <m/>
    <m/>
    <m/>
    <m/>
    <m/>
    <m/>
  </r>
  <r>
    <x v="14"/>
    <x v="1"/>
    <m/>
    <n v="1505.200726751005"/>
    <m/>
    <m/>
    <m/>
    <m/>
    <m/>
    <m/>
    <m/>
    <m/>
    <m/>
    <m/>
    <m/>
    <m/>
    <m/>
    <m/>
    <m/>
    <m/>
    <m/>
    <m/>
    <m/>
    <m/>
    <m/>
  </r>
  <r>
    <x v="14"/>
    <x v="2"/>
    <m/>
    <n v="5067.6835177760377"/>
    <m/>
    <m/>
    <m/>
    <m/>
    <m/>
    <m/>
    <m/>
    <m/>
    <m/>
    <m/>
    <m/>
    <m/>
    <m/>
    <m/>
    <m/>
    <m/>
    <m/>
    <m/>
    <m/>
    <m/>
    <m/>
  </r>
  <r>
    <x v="14"/>
    <x v="3"/>
    <m/>
    <n v="6776.7372335105438"/>
    <m/>
    <m/>
    <m/>
    <m/>
    <m/>
    <m/>
    <m/>
    <m/>
    <m/>
    <m/>
    <m/>
    <m/>
    <m/>
    <m/>
    <m/>
    <m/>
    <m/>
    <m/>
    <m/>
    <m/>
    <m/>
  </r>
  <r>
    <x v="14"/>
    <x v="4"/>
    <m/>
    <n v="6628.137719402569"/>
    <m/>
    <m/>
    <m/>
    <m/>
    <m/>
    <m/>
    <m/>
    <m/>
    <m/>
    <m/>
    <m/>
    <m/>
    <m/>
    <m/>
    <m/>
    <m/>
    <m/>
    <m/>
    <m/>
    <m/>
    <m/>
  </r>
  <r>
    <x v="14"/>
    <x v="5"/>
    <m/>
    <n v="7283.6203714657222"/>
    <m/>
    <m/>
    <m/>
    <m/>
    <m/>
    <m/>
    <m/>
    <m/>
    <m/>
    <m/>
    <m/>
    <m/>
    <m/>
    <m/>
    <m/>
    <m/>
    <m/>
    <m/>
    <m/>
    <m/>
    <m/>
  </r>
  <r>
    <x v="14"/>
    <x v="6"/>
    <m/>
    <n v="5313.4933524669113"/>
    <m/>
    <m/>
    <m/>
    <m/>
    <m/>
    <m/>
    <m/>
    <m/>
    <m/>
    <m/>
    <m/>
    <m/>
    <m/>
    <m/>
    <m/>
    <m/>
    <m/>
    <m/>
    <m/>
    <m/>
    <m/>
  </r>
  <r>
    <x v="14"/>
    <x v="7"/>
    <m/>
    <n v="32574.872921372786"/>
    <m/>
    <m/>
    <m/>
    <m/>
    <m/>
    <m/>
    <m/>
    <m/>
    <m/>
    <m/>
    <m/>
    <m/>
    <m/>
    <m/>
    <m/>
    <m/>
    <m/>
    <m/>
    <m/>
    <m/>
    <m/>
  </r>
  <r>
    <x v="15"/>
    <x v="1"/>
    <m/>
    <n v="36.901840262065605"/>
    <m/>
    <m/>
    <m/>
    <m/>
    <m/>
    <m/>
    <m/>
    <m/>
    <m/>
    <m/>
    <m/>
    <m/>
    <m/>
    <m/>
    <m/>
    <m/>
    <m/>
    <m/>
    <m/>
    <m/>
    <m/>
  </r>
  <r>
    <x v="15"/>
    <x v="2"/>
    <m/>
    <n v="124.24047128606608"/>
    <m/>
    <m/>
    <m/>
    <m/>
    <m/>
    <m/>
    <m/>
    <m/>
    <m/>
    <m/>
    <m/>
    <m/>
    <m/>
    <m/>
    <m/>
    <m/>
    <m/>
    <m/>
    <m/>
    <m/>
    <m/>
  </r>
  <r>
    <x v="15"/>
    <x v="3"/>
    <m/>
    <n v="166.14001737083038"/>
    <m/>
    <m/>
    <m/>
    <m/>
    <m/>
    <m/>
    <m/>
    <m/>
    <m/>
    <m/>
    <m/>
    <m/>
    <m/>
    <m/>
    <m/>
    <m/>
    <m/>
    <m/>
    <m/>
    <m/>
    <m/>
  </r>
  <r>
    <x v="15"/>
    <x v="4"/>
    <m/>
    <n v="162.49691819131465"/>
    <m/>
    <m/>
    <m/>
    <m/>
    <m/>
    <m/>
    <m/>
    <m/>
    <m/>
    <m/>
    <m/>
    <m/>
    <m/>
    <m/>
    <m/>
    <m/>
    <m/>
    <m/>
    <m/>
    <m/>
    <m/>
  </r>
  <r>
    <x v="15"/>
    <x v="5"/>
    <m/>
    <n v="178.56687862323713"/>
    <m/>
    <m/>
    <m/>
    <m/>
    <m/>
    <m/>
    <m/>
    <m/>
    <m/>
    <m/>
    <m/>
    <m/>
    <m/>
    <m/>
    <m/>
    <m/>
    <m/>
    <m/>
    <m/>
    <m/>
    <m/>
  </r>
  <r>
    <x v="15"/>
    <x v="6"/>
    <m/>
    <n v="130.26680059444138"/>
    <m/>
    <m/>
    <m/>
    <m/>
    <m/>
    <m/>
    <m/>
    <m/>
    <m/>
    <m/>
    <m/>
    <m/>
    <m/>
    <m/>
    <m/>
    <m/>
    <m/>
    <m/>
    <m/>
    <m/>
    <m/>
  </r>
  <r>
    <x v="15"/>
    <x v="7"/>
    <m/>
    <n v="798.61292632795528"/>
    <m/>
    <m/>
    <m/>
    <m/>
    <m/>
    <m/>
    <m/>
    <m/>
    <m/>
    <m/>
    <m/>
    <m/>
    <m/>
    <m/>
    <m/>
    <m/>
    <m/>
    <m/>
    <m/>
    <m/>
    <m/>
  </r>
  <r>
    <x v="16"/>
    <x v="1"/>
    <m/>
    <n v="61.771374754699565"/>
    <m/>
    <m/>
    <m/>
    <m/>
    <m/>
    <m/>
    <m/>
    <m/>
    <m/>
    <m/>
    <m/>
    <m/>
    <m/>
    <m/>
    <m/>
    <m/>
    <m/>
    <m/>
    <m/>
    <m/>
    <m/>
  </r>
  <r>
    <x v="16"/>
    <x v="2"/>
    <m/>
    <n v="207.97078565757394"/>
    <m/>
    <m/>
    <m/>
    <m/>
    <m/>
    <m/>
    <m/>
    <m/>
    <m/>
    <m/>
    <m/>
    <m/>
    <m/>
    <m/>
    <m/>
    <m/>
    <m/>
    <m/>
    <m/>
    <m/>
    <m/>
  </r>
  <r>
    <x v="16"/>
    <x v="3"/>
    <m/>
    <n v="278.10800767341988"/>
    <m/>
    <m/>
    <m/>
    <m/>
    <m/>
    <m/>
    <m/>
    <m/>
    <m/>
    <m/>
    <m/>
    <m/>
    <m/>
    <m/>
    <m/>
    <m/>
    <m/>
    <m/>
    <m/>
    <m/>
    <m/>
  </r>
  <r>
    <x v="16"/>
    <x v="4"/>
    <m/>
    <n v="272.00968728917229"/>
    <m/>
    <m/>
    <m/>
    <m/>
    <m/>
    <m/>
    <m/>
    <m/>
    <m/>
    <m/>
    <m/>
    <m/>
    <m/>
    <m/>
    <m/>
    <m/>
    <m/>
    <m/>
    <m/>
    <m/>
    <m/>
  </r>
  <r>
    <x v="16"/>
    <x v="5"/>
    <m/>
    <n v="298.90979690657576"/>
    <m/>
    <m/>
    <m/>
    <m/>
    <m/>
    <m/>
    <m/>
    <m/>
    <m/>
    <m/>
    <m/>
    <m/>
    <m/>
    <m/>
    <m/>
    <m/>
    <m/>
    <m/>
    <m/>
    <m/>
    <m/>
  </r>
  <r>
    <x v="16"/>
    <x v="6"/>
    <m/>
    <n v="218.05848435929832"/>
    <m/>
    <m/>
    <m/>
    <m/>
    <m/>
    <m/>
    <m/>
    <m/>
    <m/>
    <m/>
    <m/>
    <m/>
    <m/>
    <m/>
    <m/>
    <m/>
    <m/>
    <m/>
    <m/>
    <m/>
    <m/>
  </r>
  <r>
    <x v="16"/>
    <x v="7"/>
    <m/>
    <n v="1336.8281366407398"/>
    <m/>
    <m/>
    <m/>
    <m/>
    <m/>
    <m/>
    <m/>
    <m/>
    <m/>
    <m/>
    <m/>
    <m/>
    <m/>
    <m/>
    <m/>
    <m/>
    <m/>
    <m/>
    <m/>
    <m/>
    <m/>
  </r>
  <r>
    <x v="17"/>
    <x v="1"/>
    <m/>
    <n v="63.672865769427041"/>
    <m/>
    <m/>
    <m/>
    <m/>
    <m/>
    <m/>
    <m/>
    <m/>
    <m/>
    <m/>
    <m/>
    <m/>
    <m/>
    <m/>
    <m/>
    <m/>
    <m/>
    <m/>
    <m/>
    <m/>
    <m/>
  </r>
  <r>
    <x v="17"/>
    <x v="2"/>
    <m/>
    <n v="214.37269239551009"/>
    <m/>
    <m/>
    <m/>
    <m/>
    <m/>
    <m/>
    <m/>
    <m/>
    <m/>
    <m/>
    <m/>
    <m/>
    <m/>
    <m/>
    <m/>
    <m/>
    <m/>
    <m/>
    <m/>
    <m/>
    <m/>
  </r>
  <r>
    <x v="17"/>
    <x v="3"/>
    <m/>
    <n v="286.66892897094266"/>
    <m/>
    <m/>
    <m/>
    <m/>
    <m/>
    <m/>
    <m/>
    <m/>
    <m/>
    <m/>
    <m/>
    <m/>
    <m/>
    <m/>
    <m/>
    <m/>
    <m/>
    <m/>
    <m/>
    <m/>
    <m/>
  </r>
  <r>
    <x v="17"/>
    <x v="4"/>
    <m/>
    <n v="280.3828856897768"/>
    <m/>
    <m/>
    <m/>
    <m/>
    <m/>
    <m/>
    <m/>
    <m/>
    <m/>
    <m/>
    <m/>
    <m/>
    <m/>
    <m/>
    <m/>
    <m/>
    <m/>
    <m/>
    <m/>
    <m/>
    <m/>
  </r>
  <r>
    <x v="17"/>
    <x v="5"/>
    <m/>
    <n v="308.11105388505388"/>
    <m/>
    <m/>
    <m/>
    <m/>
    <m/>
    <m/>
    <m/>
    <m/>
    <m/>
    <m/>
    <m/>
    <m/>
    <m/>
    <m/>
    <m/>
    <m/>
    <m/>
    <m/>
    <m/>
    <m/>
    <m/>
  </r>
  <r>
    <x v="17"/>
    <x v="6"/>
    <m/>
    <n v="224.77091791514616"/>
    <m/>
    <m/>
    <m/>
    <m/>
    <m/>
    <m/>
    <m/>
    <m/>
    <m/>
    <m/>
    <m/>
    <m/>
    <m/>
    <m/>
    <m/>
    <m/>
    <m/>
    <m/>
    <m/>
    <m/>
    <m/>
  </r>
  <r>
    <x v="17"/>
    <x v="7"/>
    <m/>
    <n v="1377.9793446258566"/>
    <m/>
    <m/>
    <m/>
    <m/>
    <m/>
    <m/>
    <m/>
    <m/>
    <m/>
    <m/>
    <m/>
    <m/>
    <m/>
    <m/>
    <m/>
    <m/>
    <m/>
    <m/>
    <m/>
    <m/>
    <m/>
  </r>
  <r>
    <x v="18"/>
    <x v="1"/>
    <m/>
    <n v="6.2453011427556842"/>
    <m/>
    <m/>
    <m/>
    <m/>
    <m/>
    <m/>
    <m/>
    <m/>
    <m/>
    <m/>
    <m/>
    <m/>
    <m/>
    <m/>
    <m/>
    <m/>
    <m/>
    <m/>
    <m/>
    <m/>
    <m/>
  </r>
  <r>
    <x v="18"/>
    <x v="2"/>
    <m/>
    <n v="21.026570810263994"/>
    <m/>
    <m/>
    <m/>
    <m/>
    <m/>
    <m/>
    <m/>
    <m/>
    <m/>
    <m/>
    <m/>
    <m/>
    <m/>
    <m/>
    <m/>
    <m/>
    <m/>
    <m/>
    <m/>
    <m/>
    <m/>
  </r>
  <r>
    <x v="18"/>
    <x v="3"/>
    <m/>
    <n v="28.117688250093138"/>
    <m/>
    <m/>
    <m/>
    <m/>
    <m/>
    <m/>
    <m/>
    <m/>
    <m/>
    <m/>
    <m/>
    <m/>
    <m/>
    <m/>
    <m/>
    <m/>
    <m/>
    <m/>
    <m/>
    <m/>
    <m/>
  </r>
  <r>
    <x v="18"/>
    <x v="4"/>
    <m/>
    <n v="27.501126818266915"/>
    <m/>
    <m/>
    <m/>
    <m/>
    <m/>
    <m/>
    <m/>
    <m/>
    <m/>
    <m/>
    <m/>
    <m/>
    <m/>
    <m/>
    <m/>
    <m/>
    <m/>
    <m/>
    <m/>
    <m/>
    <m/>
  </r>
  <r>
    <x v="18"/>
    <x v="5"/>
    <m/>
    <n v="30.220821596001187"/>
    <m/>
    <m/>
    <m/>
    <m/>
    <m/>
    <m/>
    <m/>
    <m/>
    <m/>
    <m/>
    <m/>
    <m/>
    <m/>
    <m/>
    <m/>
    <m/>
    <m/>
    <m/>
    <m/>
    <m/>
    <m/>
  </r>
  <r>
    <x v="18"/>
    <x v="6"/>
    <m/>
    <n v="22.046472285337789"/>
    <m/>
    <m/>
    <m/>
    <m/>
    <m/>
    <m/>
    <m/>
    <m/>
    <m/>
    <m/>
    <m/>
    <m/>
    <m/>
    <m/>
    <m/>
    <m/>
    <m/>
    <m/>
    <m/>
    <m/>
    <m/>
  </r>
  <r>
    <x v="18"/>
    <x v="7"/>
    <m/>
    <n v="135.15798090271872"/>
    <m/>
    <m/>
    <m/>
    <m/>
    <m/>
    <m/>
    <m/>
    <m/>
    <m/>
    <m/>
    <m/>
    <m/>
    <m/>
    <m/>
    <m/>
    <m/>
    <m/>
    <m/>
    <m/>
    <m/>
    <m/>
  </r>
  <r>
    <x v="19"/>
    <x v="1"/>
    <m/>
    <n v="476.6580786707562"/>
    <m/>
    <m/>
    <m/>
    <m/>
    <m/>
    <m/>
    <m/>
    <m/>
    <m/>
    <m/>
    <m/>
    <m/>
    <m/>
    <m/>
    <m/>
    <m/>
    <m/>
    <m/>
    <m/>
    <m/>
    <m/>
  </r>
  <r>
    <x v="19"/>
    <x v="2"/>
    <m/>
    <n v="1604.8040942078105"/>
    <m/>
    <m/>
    <m/>
    <m/>
    <m/>
    <m/>
    <m/>
    <m/>
    <m/>
    <m/>
    <m/>
    <m/>
    <m/>
    <m/>
    <m/>
    <m/>
    <m/>
    <m/>
    <m/>
    <m/>
    <m/>
  </r>
  <r>
    <x v="19"/>
    <x v="3"/>
    <m/>
    <n v="2146.0171337773068"/>
    <m/>
    <m/>
    <m/>
    <m/>
    <m/>
    <m/>
    <m/>
    <m/>
    <m/>
    <m/>
    <m/>
    <m/>
    <m/>
    <m/>
    <m/>
    <m/>
    <m/>
    <m/>
    <m/>
    <m/>
    <m/>
  </r>
  <r>
    <x v="19"/>
    <x v="4"/>
    <m/>
    <n v="2098.9595170573061"/>
    <m/>
    <m/>
    <m/>
    <m/>
    <m/>
    <m/>
    <m/>
    <m/>
    <m/>
    <m/>
    <m/>
    <m/>
    <m/>
    <m/>
    <m/>
    <m/>
    <m/>
    <m/>
    <m/>
    <m/>
    <m/>
  </r>
  <r>
    <x v="19"/>
    <x v="5"/>
    <m/>
    <n v="2306.5338930070461"/>
    <m/>
    <m/>
    <m/>
    <m/>
    <m/>
    <m/>
    <m/>
    <m/>
    <m/>
    <m/>
    <m/>
    <m/>
    <m/>
    <m/>
    <m/>
    <m/>
    <m/>
    <m/>
    <m/>
    <m/>
    <m/>
  </r>
  <r>
    <x v="19"/>
    <x v="6"/>
    <m/>
    <n v="1682.6457012704348"/>
    <m/>
    <m/>
    <m/>
    <m/>
    <m/>
    <m/>
    <m/>
    <m/>
    <m/>
    <m/>
    <m/>
    <m/>
    <m/>
    <m/>
    <m/>
    <m/>
    <m/>
    <m/>
    <m/>
    <m/>
    <m/>
  </r>
  <r>
    <x v="19"/>
    <x v="7"/>
    <m/>
    <n v="10315.618417990661"/>
    <m/>
    <m/>
    <m/>
    <m/>
    <m/>
    <m/>
    <m/>
    <m/>
    <m/>
    <m/>
    <m/>
    <m/>
    <m/>
    <m/>
    <m/>
    <m/>
    <m/>
    <m/>
    <m/>
    <m/>
    <m/>
  </r>
  <r>
    <x v="20"/>
    <x v="1"/>
    <m/>
    <n v="926.04476998574341"/>
    <m/>
    <m/>
    <m/>
    <m/>
    <m/>
    <m/>
    <m/>
    <m/>
    <m/>
    <m/>
    <m/>
    <m/>
    <m/>
    <m/>
    <m/>
    <m/>
    <m/>
    <m/>
    <m/>
    <m/>
    <m/>
  </r>
  <r>
    <x v="20"/>
    <x v="2"/>
    <m/>
    <n v="3117.7913577740173"/>
    <m/>
    <m/>
    <m/>
    <m/>
    <m/>
    <m/>
    <m/>
    <m/>
    <m/>
    <m/>
    <m/>
    <m/>
    <m/>
    <m/>
    <m/>
    <m/>
    <m/>
    <m/>
    <m/>
    <m/>
    <m/>
  </r>
  <r>
    <x v="20"/>
    <x v="3"/>
    <m/>
    <n v="4169.2526193539488"/>
    <m/>
    <m/>
    <m/>
    <m/>
    <m/>
    <m/>
    <m/>
    <m/>
    <m/>
    <m/>
    <m/>
    <m/>
    <m/>
    <m/>
    <m/>
    <m/>
    <m/>
    <m/>
    <m/>
    <m/>
    <m/>
  </r>
  <r>
    <x v="20"/>
    <x v="4"/>
    <m/>
    <n v="4077.8297277645024"/>
    <m/>
    <m/>
    <m/>
    <m/>
    <m/>
    <m/>
    <m/>
    <m/>
    <m/>
    <m/>
    <m/>
    <m/>
    <m/>
    <m/>
    <m/>
    <m/>
    <m/>
    <m/>
    <m/>
    <m/>
    <m/>
  </r>
  <r>
    <x v="20"/>
    <x v="5"/>
    <m/>
    <n v="4481.1023750410541"/>
    <m/>
    <m/>
    <m/>
    <m/>
    <m/>
    <m/>
    <m/>
    <m/>
    <m/>
    <m/>
    <m/>
    <m/>
    <m/>
    <m/>
    <m/>
    <m/>
    <m/>
    <m/>
    <m/>
    <m/>
    <m/>
  </r>
  <r>
    <x v="20"/>
    <x v="6"/>
    <m/>
    <n v="3269.020963089109"/>
    <m/>
    <m/>
    <m/>
    <m/>
    <m/>
    <m/>
    <m/>
    <m/>
    <m/>
    <m/>
    <m/>
    <m/>
    <m/>
    <m/>
    <m/>
    <m/>
    <m/>
    <m/>
    <m/>
    <m/>
    <m/>
  </r>
  <r>
    <x v="20"/>
    <x v="7"/>
    <m/>
    <n v="20041.041813008374"/>
    <m/>
    <m/>
    <m/>
    <m/>
    <m/>
    <m/>
    <m/>
    <m/>
    <m/>
    <m/>
    <m/>
    <m/>
    <m/>
    <m/>
    <m/>
    <m/>
    <m/>
    <m/>
    <m/>
    <m/>
    <m/>
  </r>
  <r>
    <x v="21"/>
    <x v="1"/>
    <m/>
    <n v="180.47670182073662"/>
    <m/>
    <m/>
    <m/>
    <m/>
    <m/>
    <m/>
    <m/>
    <m/>
    <m/>
    <m/>
    <m/>
    <m/>
    <m/>
    <m/>
    <m/>
    <m/>
    <m/>
    <m/>
    <m/>
    <m/>
    <m/>
  </r>
  <r>
    <x v="21"/>
    <x v="2"/>
    <m/>
    <n v="607.62580757830267"/>
    <m/>
    <m/>
    <m/>
    <m/>
    <m/>
    <m/>
    <m/>
    <m/>
    <m/>
    <m/>
    <m/>
    <m/>
    <m/>
    <m/>
    <m/>
    <m/>
    <m/>
    <m/>
    <m/>
    <m/>
    <m/>
  </r>
  <r>
    <x v="21"/>
    <x v="3"/>
    <m/>
    <n v="812.54490731593012"/>
    <m/>
    <m/>
    <m/>
    <m/>
    <m/>
    <m/>
    <m/>
    <m/>
    <m/>
    <m/>
    <m/>
    <m/>
    <m/>
    <m/>
    <m/>
    <m/>
    <m/>
    <m/>
    <m/>
    <m/>
    <m/>
  </r>
  <r>
    <x v="21"/>
    <x v="4"/>
    <m/>
    <n v="794.72751610574915"/>
    <m/>
    <m/>
    <m/>
    <m/>
    <m/>
    <m/>
    <m/>
    <m/>
    <m/>
    <m/>
    <m/>
    <m/>
    <m/>
    <m/>
    <m/>
    <m/>
    <m/>
    <m/>
    <m/>
    <m/>
    <m/>
  </r>
  <r>
    <x v="21"/>
    <x v="5"/>
    <m/>
    <n v="873.32125117550163"/>
    <m/>
    <m/>
    <m/>
    <m/>
    <m/>
    <m/>
    <m/>
    <m/>
    <m/>
    <m/>
    <m/>
    <m/>
    <m/>
    <m/>
    <m/>
    <m/>
    <m/>
    <m/>
    <m/>
    <m/>
    <m/>
  </r>
  <r>
    <x v="21"/>
    <x v="6"/>
    <m/>
    <n v="637.09891867350348"/>
    <m/>
    <m/>
    <m/>
    <m/>
    <m/>
    <m/>
    <m/>
    <m/>
    <m/>
    <m/>
    <m/>
    <m/>
    <m/>
    <m/>
    <m/>
    <m/>
    <m/>
    <m/>
    <m/>
    <m/>
    <m/>
  </r>
  <r>
    <x v="21"/>
    <x v="7"/>
    <m/>
    <n v="3905.7951026697237"/>
    <m/>
    <m/>
    <m/>
    <m/>
    <m/>
    <m/>
    <m/>
    <m/>
    <m/>
    <m/>
    <m/>
    <m/>
    <m/>
    <m/>
    <m/>
    <m/>
    <m/>
    <m/>
    <m/>
    <m/>
    <m/>
  </r>
  <r>
    <x v="22"/>
    <x v="1"/>
    <m/>
    <n v="285.29861139162057"/>
    <m/>
    <m/>
    <m/>
    <m/>
    <m/>
    <m/>
    <m/>
    <m/>
    <m/>
    <m/>
    <m/>
    <m/>
    <m/>
    <m/>
    <m/>
    <m/>
    <m/>
    <m/>
    <m/>
    <m/>
    <m/>
  </r>
  <r>
    <x v="22"/>
    <x v="2"/>
    <m/>
    <n v="960.5383819568641"/>
    <m/>
    <m/>
    <m/>
    <m/>
    <m/>
    <m/>
    <m/>
    <m/>
    <m/>
    <m/>
    <m/>
    <m/>
    <m/>
    <m/>
    <m/>
    <m/>
    <m/>
    <m/>
    <m/>
    <m/>
    <m/>
  </r>
  <r>
    <x v="22"/>
    <x v="3"/>
    <m/>
    <n v="1284.4756769814385"/>
    <m/>
    <m/>
    <m/>
    <m/>
    <m/>
    <m/>
    <m/>
    <m/>
    <m/>
    <m/>
    <m/>
    <m/>
    <m/>
    <m/>
    <m/>
    <m/>
    <m/>
    <m/>
    <m/>
    <m/>
    <m/>
  </r>
  <r>
    <x v="22"/>
    <x v="4"/>
    <m/>
    <n v="1256.3098421695024"/>
    <m/>
    <m/>
    <m/>
    <m/>
    <m/>
    <m/>
    <m/>
    <m/>
    <m/>
    <m/>
    <m/>
    <m/>
    <m/>
    <m/>
    <m/>
    <m/>
    <m/>
    <m/>
    <m/>
    <m/>
    <m/>
  </r>
  <r>
    <x v="22"/>
    <x v="5"/>
    <m/>
    <n v="1380.5512719677556"/>
    <m/>
    <m/>
    <m/>
    <m/>
    <m/>
    <m/>
    <m/>
    <m/>
    <m/>
    <m/>
    <m/>
    <m/>
    <m/>
    <m/>
    <m/>
    <m/>
    <m/>
    <m/>
    <m/>
    <m/>
    <m/>
  </r>
  <r>
    <x v="22"/>
    <x v="6"/>
    <m/>
    <n v="1007.1296460038094"/>
    <m/>
    <m/>
    <m/>
    <m/>
    <m/>
    <m/>
    <m/>
    <m/>
    <m/>
    <m/>
    <m/>
    <m/>
    <m/>
    <m/>
    <m/>
    <m/>
    <m/>
    <m/>
    <m/>
    <m/>
    <m/>
  </r>
  <r>
    <x v="22"/>
    <x v="7"/>
    <m/>
    <n v="6174.30343047099"/>
    <m/>
    <m/>
    <m/>
    <m/>
    <m/>
    <m/>
    <m/>
    <m/>
    <m/>
    <m/>
    <m/>
    <m/>
    <m/>
    <m/>
    <m/>
    <m/>
    <m/>
    <m/>
    <m/>
    <m/>
    <m/>
  </r>
  <r>
    <x v="23"/>
    <x v="1"/>
    <m/>
    <n v="113.64754434435245"/>
    <m/>
    <m/>
    <m/>
    <m/>
    <m/>
    <m/>
    <m/>
    <m/>
    <m/>
    <m/>
    <m/>
    <m/>
    <m/>
    <m/>
    <m/>
    <m/>
    <m/>
    <m/>
    <m/>
    <m/>
    <m/>
  </r>
  <r>
    <x v="23"/>
    <x v="2"/>
    <m/>
    <n v="382.62656738995071"/>
    <m/>
    <m/>
    <m/>
    <m/>
    <m/>
    <m/>
    <m/>
    <m/>
    <m/>
    <m/>
    <m/>
    <m/>
    <m/>
    <m/>
    <m/>
    <m/>
    <m/>
    <m/>
    <m/>
    <m/>
    <m/>
  </r>
  <r>
    <x v="23"/>
    <x v="3"/>
    <m/>
    <n v="511.66567459598099"/>
    <m/>
    <m/>
    <m/>
    <m/>
    <m/>
    <m/>
    <m/>
    <m/>
    <m/>
    <m/>
    <m/>
    <m/>
    <m/>
    <m/>
    <m/>
    <m/>
    <m/>
    <m/>
    <m/>
    <m/>
    <m/>
  </r>
  <r>
    <x v="23"/>
    <x v="4"/>
    <m/>
    <n v="500.44592857208141"/>
    <m/>
    <m/>
    <m/>
    <m/>
    <m/>
    <m/>
    <m/>
    <m/>
    <m/>
    <m/>
    <m/>
    <m/>
    <m/>
    <m/>
    <m/>
    <m/>
    <m/>
    <m/>
    <m/>
    <m/>
    <m/>
  </r>
  <r>
    <x v="23"/>
    <x v="5"/>
    <m/>
    <n v="549.93699806425286"/>
    <m/>
    <m/>
    <m/>
    <m/>
    <m/>
    <m/>
    <m/>
    <m/>
    <m/>
    <m/>
    <m/>
    <m/>
    <m/>
    <m/>
    <m/>
    <m/>
    <m/>
    <m/>
    <m/>
    <m/>
    <m/>
  </r>
  <r>
    <x v="23"/>
    <x v="6"/>
    <m/>
    <n v="401.18600839461232"/>
    <m/>
    <m/>
    <m/>
    <m/>
    <m/>
    <m/>
    <m/>
    <m/>
    <m/>
    <m/>
    <m/>
    <m/>
    <m/>
    <m/>
    <m/>
    <m/>
    <m/>
    <m/>
    <m/>
    <m/>
    <m/>
  </r>
  <r>
    <x v="23"/>
    <x v="7"/>
    <m/>
    <n v="2459.5087213612305"/>
    <m/>
    <m/>
    <m/>
    <m/>
    <m/>
    <m/>
    <m/>
    <m/>
    <m/>
    <m/>
    <m/>
    <m/>
    <m/>
    <m/>
    <m/>
    <m/>
    <m/>
    <m/>
    <m/>
    <m/>
    <m/>
  </r>
  <r>
    <x v="24"/>
    <x v="1"/>
    <m/>
    <n v="61.72592384190385"/>
    <m/>
    <m/>
    <m/>
    <m/>
    <m/>
    <m/>
    <m/>
    <m/>
    <m/>
    <m/>
    <m/>
    <m/>
    <m/>
    <m/>
    <m/>
    <m/>
    <m/>
    <m/>
    <m/>
    <m/>
    <m/>
  </r>
  <r>
    <x v="24"/>
    <x v="2"/>
    <m/>
    <n v="207.81776231819524"/>
    <m/>
    <m/>
    <m/>
    <m/>
    <m/>
    <m/>
    <m/>
    <m/>
    <m/>
    <m/>
    <m/>
    <m/>
    <m/>
    <m/>
    <m/>
    <m/>
    <m/>
    <m/>
    <m/>
    <m/>
    <m/>
  </r>
  <r>
    <x v="24"/>
    <x v="3"/>
    <m/>
    <n v="277.90337789377281"/>
    <m/>
    <m/>
    <m/>
    <m/>
    <m/>
    <m/>
    <m/>
    <m/>
    <m/>
    <m/>
    <m/>
    <m/>
    <m/>
    <m/>
    <m/>
    <m/>
    <m/>
    <m/>
    <m/>
    <m/>
    <m/>
  </r>
  <r>
    <x v="24"/>
    <x v="4"/>
    <m/>
    <n v="271.80954460778202"/>
    <m/>
    <m/>
    <m/>
    <m/>
    <m/>
    <m/>
    <m/>
    <m/>
    <m/>
    <m/>
    <m/>
    <m/>
    <m/>
    <m/>
    <m/>
    <m/>
    <m/>
    <m/>
    <m/>
    <m/>
    <m/>
  </r>
  <r>
    <x v="24"/>
    <x v="5"/>
    <m/>
    <n v="298.68986132691714"/>
    <m/>
    <m/>
    <m/>
    <m/>
    <m/>
    <m/>
    <m/>
    <m/>
    <m/>
    <m/>
    <m/>
    <m/>
    <m/>
    <m/>
    <m/>
    <m/>
    <m/>
    <m/>
    <m/>
    <m/>
    <m/>
  </r>
  <r>
    <x v="24"/>
    <x v="6"/>
    <m/>
    <n v="217.8980385671116"/>
    <m/>
    <m/>
    <m/>
    <m/>
    <m/>
    <m/>
    <m/>
    <m/>
    <m/>
    <m/>
    <m/>
    <m/>
    <m/>
    <m/>
    <m/>
    <m/>
    <m/>
    <m/>
    <m/>
    <m/>
    <m/>
  </r>
  <r>
    <x v="24"/>
    <x v="7"/>
    <m/>
    <n v="1335.8445085556828"/>
    <m/>
    <m/>
    <m/>
    <m/>
    <m/>
    <m/>
    <m/>
    <m/>
    <m/>
    <m/>
    <m/>
    <m/>
    <m/>
    <m/>
    <m/>
    <m/>
    <m/>
    <m/>
    <m/>
    <m/>
    <m/>
  </r>
  <r>
    <x v="25"/>
    <x v="1"/>
    <m/>
    <n v="944.43246922106641"/>
    <m/>
    <m/>
    <m/>
    <m/>
    <m/>
    <m/>
    <m/>
    <m/>
    <m/>
    <m/>
    <m/>
    <m/>
    <m/>
    <m/>
    <m/>
    <m/>
    <m/>
    <m/>
    <m/>
    <m/>
    <m/>
  </r>
  <r>
    <x v="25"/>
    <x v="2"/>
    <m/>
    <n v="3179.6987424095578"/>
    <m/>
    <m/>
    <m/>
    <m/>
    <m/>
    <m/>
    <m/>
    <m/>
    <m/>
    <m/>
    <m/>
    <m/>
    <m/>
    <m/>
    <m/>
    <m/>
    <m/>
    <m/>
    <m/>
    <m/>
    <m/>
  </r>
  <r>
    <x v="25"/>
    <x v="3"/>
    <m/>
    <n v="4252.0379939767572"/>
    <m/>
    <m/>
    <m/>
    <m/>
    <m/>
    <m/>
    <m/>
    <m/>
    <m/>
    <m/>
    <m/>
    <m/>
    <m/>
    <m/>
    <m/>
    <m/>
    <m/>
    <m/>
    <m/>
    <m/>
    <m/>
  </r>
  <r>
    <x v="25"/>
    <x v="4"/>
    <m/>
    <n v="4158.7997942205193"/>
    <m/>
    <m/>
    <m/>
    <m/>
    <m/>
    <m/>
    <m/>
    <m/>
    <m/>
    <m/>
    <m/>
    <m/>
    <m/>
    <m/>
    <m/>
    <m/>
    <m/>
    <m/>
    <m/>
    <m/>
    <m/>
  </r>
  <r>
    <x v="25"/>
    <x v="5"/>
    <m/>
    <n v="4570.0798903681098"/>
    <m/>
    <m/>
    <m/>
    <m/>
    <m/>
    <m/>
    <m/>
    <m/>
    <m/>
    <m/>
    <m/>
    <m/>
    <m/>
    <m/>
    <m/>
    <m/>
    <m/>
    <m/>
    <m/>
    <m/>
    <m/>
  </r>
  <r>
    <x v="25"/>
    <x v="6"/>
    <m/>
    <n v="3333.9311879631978"/>
    <m/>
    <m/>
    <m/>
    <m/>
    <m/>
    <m/>
    <m/>
    <m/>
    <m/>
    <m/>
    <m/>
    <m/>
    <m/>
    <m/>
    <m/>
    <m/>
    <m/>
    <m/>
    <m/>
    <m/>
    <m/>
  </r>
  <r>
    <x v="25"/>
    <x v="7"/>
    <m/>
    <n v="20438.980078159206"/>
    <m/>
    <m/>
    <m/>
    <m/>
    <m/>
    <m/>
    <m/>
    <m/>
    <m/>
    <m/>
    <m/>
    <m/>
    <m/>
    <m/>
    <m/>
    <m/>
    <m/>
    <m/>
    <m/>
    <m/>
    <m/>
  </r>
  <r>
    <x v="26"/>
    <x v="1"/>
    <m/>
    <n v="155.12543431981121"/>
    <m/>
    <m/>
    <m/>
    <m/>
    <m/>
    <m/>
    <m/>
    <m/>
    <m/>
    <m/>
    <m/>
    <m/>
    <m/>
    <m/>
    <m/>
    <m/>
    <m/>
    <m/>
    <m/>
    <m/>
    <m/>
  </r>
  <r>
    <x v="26"/>
    <x v="2"/>
    <m/>
    <n v="522.27360292817605"/>
    <m/>
    <m/>
    <m/>
    <m/>
    <m/>
    <m/>
    <m/>
    <m/>
    <m/>
    <m/>
    <m/>
    <m/>
    <m/>
    <m/>
    <m/>
    <m/>
    <m/>
    <m/>
    <m/>
    <m/>
    <m/>
  </r>
  <r>
    <x v="26"/>
    <x v="3"/>
    <m/>
    <n v="698.4080514554912"/>
    <m/>
    <m/>
    <m/>
    <m/>
    <m/>
    <m/>
    <m/>
    <m/>
    <m/>
    <m/>
    <m/>
    <m/>
    <m/>
    <m/>
    <m/>
    <m/>
    <m/>
    <m/>
    <m/>
    <m/>
    <m/>
  </r>
  <r>
    <x v="26"/>
    <x v="4"/>
    <m/>
    <n v="683.09344008437563"/>
    <m/>
    <m/>
    <m/>
    <m/>
    <m/>
    <m/>
    <m/>
    <m/>
    <m/>
    <m/>
    <m/>
    <m/>
    <m/>
    <m/>
    <m/>
    <m/>
    <m/>
    <m/>
    <m/>
    <m/>
    <m/>
  </r>
  <r>
    <x v="26"/>
    <x v="5"/>
    <m/>
    <n v="750.64724156963018"/>
    <m/>
    <m/>
    <m/>
    <m/>
    <m/>
    <m/>
    <m/>
    <m/>
    <m/>
    <m/>
    <m/>
    <m/>
    <m/>
    <m/>
    <m/>
    <m/>
    <m/>
    <m/>
    <m/>
    <m/>
    <m/>
  </r>
  <r>
    <x v="26"/>
    <x v="6"/>
    <m/>
    <n v="547.60667425136751"/>
    <m/>
    <m/>
    <m/>
    <m/>
    <m/>
    <m/>
    <m/>
    <m/>
    <m/>
    <m/>
    <m/>
    <m/>
    <m/>
    <m/>
    <m/>
    <m/>
    <m/>
    <m/>
    <m/>
    <m/>
    <m/>
  </r>
  <r>
    <x v="26"/>
    <x v="7"/>
    <m/>
    <n v="3357.1544446088519"/>
    <m/>
    <m/>
    <m/>
    <m/>
    <m/>
    <m/>
    <m/>
    <m/>
    <m/>
    <m/>
    <m/>
    <m/>
    <m/>
    <m/>
    <m/>
    <m/>
    <m/>
    <m/>
    <m/>
    <m/>
    <m/>
  </r>
  <r>
    <x v="27"/>
    <x v="0"/>
    <m/>
    <n v="0"/>
    <m/>
    <m/>
    <m/>
    <m/>
    <m/>
    <m/>
    <m/>
    <m/>
    <m/>
    <m/>
    <m/>
    <m/>
    <m/>
    <m/>
    <m/>
    <m/>
    <m/>
    <m/>
    <m/>
    <m/>
    <m/>
  </r>
  <r>
    <x v="27"/>
    <x v="1"/>
    <m/>
    <n v="11414.516524247279"/>
    <m/>
    <m/>
    <m/>
    <m/>
    <m/>
    <m/>
    <m/>
    <m/>
    <m/>
    <m/>
    <m/>
    <m/>
    <m/>
    <m/>
    <m/>
    <m/>
    <m/>
    <m/>
    <m/>
    <m/>
    <m/>
  </r>
  <r>
    <x v="27"/>
    <x v="2"/>
    <m/>
    <n v="38430.19487385558"/>
    <m/>
    <m/>
    <m/>
    <m/>
    <m/>
    <m/>
    <m/>
    <m/>
    <m/>
    <m/>
    <m/>
    <m/>
    <m/>
    <m/>
    <m/>
    <m/>
    <m/>
    <m/>
    <m/>
    <m/>
    <m/>
  </r>
  <r>
    <x v="27"/>
    <x v="3"/>
    <m/>
    <n v="51390.607084914001"/>
    <m/>
    <m/>
    <m/>
    <m/>
    <m/>
    <m/>
    <m/>
    <m/>
    <m/>
    <m/>
    <m/>
    <m/>
    <m/>
    <m/>
    <m/>
    <m/>
    <m/>
    <m/>
    <m/>
    <m/>
    <m/>
  </r>
  <r>
    <x v="27"/>
    <x v="4"/>
    <m/>
    <n v="50263.71976740528"/>
    <m/>
    <m/>
    <m/>
    <m/>
    <m/>
    <m/>
    <m/>
    <m/>
    <m/>
    <m/>
    <m/>
    <m/>
    <m/>
    <m/>
    <m/>
    <m/>
    <m/>
    <m/>
    <m/>
    <m/>
    <m/>
  </r>
  <r>
    <x v="27"/>
    <x v="5"/>
    <m/>
    <n v="55234.497040069997"/>
    <m/>
    <m/>
    <m/>
    <m/>
    <m/>
    <m/>
    <m/>
    <m/>
    <m/>
    <m/>
    <m/>
    <m/>
    <m/>
    <m/>
    <m/>
    <m/>
    <m/>
    <m/>
    <m/>
    <m/>
    <m/>
  </r>
  <r>
    <x v="27"/>
    <x v="6"/>
    <m/>
    <n v="40294.265472570885"/>
    <m/>
    <m/>
    <m/>
    <m/>
    <m/>
    <m/>
    <m/>
    <m/>
    <m/>
    <m/>
    <m/>
    <m/>
    <m/>
    <m/>
    <m/>
    <m/>
    <m/>
    <m/>
    <m/>
    <m/>
    <m/>
  </r>
  <r>
    <x v="27"/>
    <x v="7"/>
    <m/>
    <n v="247027.80076306302"/>
    <m/>
    <m/>
    <m/>
    <m/>
    <m/>
    <m/>
    <m/>
    <m/>
    <m/>
    <m/>
    <m/>
    <m/>
    <m/>
    <m/>
    <m/>
    <m/>
    <m/>
    <m/>
    <m/>
    <m/>
    <m/>
  </r>
  <r>
    <x v="0"/>
    <x v="0"/>
    <m/>
    <m/>
    <n v="11.866666666666667"/>
    <m/>
    <m/>
    <m/>
    <m/>
    <m/>
    <m/>
    <m/>
    <m/>
    <m/>
    <m/>
    <m/>
    <m/>
    <m/>
    <m/>
    <m/>
    <m/>
    <m/>
    <m/>
    <m/>
    <m/>
  </r>
  <r>
    <x v="0"/>
    <x v="1"/>
    <m/>
    <m/>
    <n v="32.336666666666659"/>
    <m/>
    <m/>
    <m/>
    <m/>
    <m/>
    <m/>
    <m/>
    <m/>
    <m/>
    <m/>
    <m/>
    <m/>
    <m/>
    <m/>
    <m/>
    <m/>
    <m/>
    <m/>
    <m/>
    <m/>
  </r>
  <r>
    <x v="0"/>
    <x v="2"/>
    <m/>
    <m/>
    <n v="31.150000000000006"/>
    <m/>
    <m/>
    <m/>
    <m/>
    <m/>
    <m/>
    <m/>
    <m/>
    <m/>
    <m/>
    <m/>
    <m/>
    <m/>
    <m/>
    <m/>
    <m/>
    <m/>
    <m/>
    <m/>
    <m/>
  </r>
  <r>
    <x v="0"/>
    <x v="3"/>
    <m/>
    <m/>
    <n v="30.556666666666672"/>
    <m/>
    <m/>
    <m/>
    <m/>
    <m/>
    <m/>
    <m/>
    <m/>
    <m/>
    <m/>
    <m/>
    <m/>
    <m/>
    <m/>
    <m/>
    <m/>
    <m/>
    <m/>
    <m/>
    <m/>
  </r>
  <r>
    <x v="0"/>
    <x v="4"/>
    <m/>
    <m/>
    <n v="29.963333333333338"/>
    <m/>
    <m/>
    <m/>
    <m/>
    <m/>
    <m/>
    <m/>
    <m/>
    <m/>
    <m/>
    <m/>
    <m/>
    <m/>
    <m/>
    <m/>
    <m/>
    <m/>
    <m/>
    <m/>
    <m/>
  </r>
  <r>
    <x v="0"/>
    <x v="5"/>
    <m/>
    <m/>
    <n v="29.073333333333338"/>
    <m/>
    <m/>
    <m/>
    <m/>
    <m/>
    <m/>
    <m/>
    <m/>
    <m/>
    <m/>
    <m/>
    <m/>
    <m/>
    <m/>
    <m/>
    <m/>
    <m/>
    <m/>
    <m/>
    <m/>
  </r>
  <r>
    <x v="0"/>
    <x v="6"/>
    <m/>
    <m/>
    <n v="27.88666666666667"/>
    <m/>
    <m/>
    <m/>
    <m/>
    <m/>
    <m/>
    <m/>
    <m/>
    <m/>
    <m/>
    <m/>
    <m/>
    <m/>
    <m/>
    <m/>
    <m/>
    <m/>
    <m/>
    <m/>
    <m/>
  </r>
  <r>
    <x v="0"/>
    <x v="7"/>
    <m/>
    <m/>
    <n v="192.99308442243171"/>
    <m/>
    <m/>
    <m/>
    <m/>
    <m/>
    <m/>
    <m/>
    <m/>
    <m/>
    <m/>
    <m/>
    <m/>
    <m/>
    <m/>
    <m/>
    <m/>
    <m/>
    <m/>
    <m/>
    <m/>
  </r>
  <r>
    <x v="1"/>
    <x v="0"/>
    <m/>
    <m/>
    <n v="34"/>
    <m/>
    <m/>
    <m/>
    <m/>
    <m/>
    <m/>
    <m/>
    <m/>
    <m/>
    <m/>
    <m/>
    <m/>
    <m/>
    <m/>
    <m/>
    <m/>
    <m/>
    <m/>
    <m/>
    <m/>
  </r>
  <r>
    <x v="1"/>
    <x v="1"/>
    <m/>
    <m/>
    <n v="92.649999999999977"/>
    <m/>
    <m/>
    <m/>
    <m/>
    <m/>
    <m/>
    <m/>
    <m/>
    <m/>
    <m/>
    <m/>
    <m/>
    <m/>
    <m/>
    <m/>
    <m/>
    <m/>
    <m/>
    <m/>
    <m/>
  </r>
  <r>
    <x v="1"/>
    <x v="2"/>
    <m/>
    <m/>
    <n v="89.25"/>
    <m/>
    <m/>
    <m/>
    <m/>
    <m/>
    <m/>
    <m/>
    <m/>
    <m/>
    <m/>
    <m/>
    <m/>
    <m/>
    <m/>
    <m/>
    <m/>
    <m/>
    <m/>
    <m/>
    <m/>
  </r>
  <r>
    <x v="1"/>
    <x v="3"/>
    <m/>
    <m/>
    <n v="87.550000000000011"/>
    <m/>
    <m/>
    <m/>
    <m/>
    <m/>
    <m/>
    <m/>
    <m/>
    <m/>
    <m/>
    <m/>
    <m/>
    <m/>
    <m/>
    <m/>
    <m/>
    <m/>
    <m/>
    <m/>
    <m/>
  </r>
  <r>
    <x v="1"/>
    <x v="4"/>
    <m/>
    <m/>
    <n v="85.850000000000023"/>
    <m/>
    <m/>
    <m/>
    <m/>
    <m/>
    <m/>
    <m/>
    <m/>
    <m/>
    <m/>
    <m/>
    <m/>
    <m/>
    <m/>
    <m/>
    <m/>
    <m/>
    <m/>
    <m/>
    <m/>
  </r>
  <r>
    <x v="1"/>
    <x v="5"/>
    <m/>
    <m/>
    <n v="83.300000000000011"/>
    <m/>
    <m/>
    <m/>
    <m/>
    <m/>
    <m/>
    <m/>
    <m/>
    <m/>
    <m/>
    <m/>
    <m/>
    <m/>
    <m/>
    <m/>
    <m/>
    <m/>
    <m/>
    <m/>
    <m/>
  </r>
  <r>
    <x v="1"/>
    <x v="6"/>
    <m/>
    <m/>
    <n v="79.899999999999977"/>
    <m/>
    <m/>
    <m/>
    <m/>
    <m/>
    <m/>
    <m/>
    <m/>
    <m/>
    <m/>
    <m/>
    <m/>
    <m/>
    <m/>
    <m/>
    <m/>
    <m/>
    <m/>
    <m/>
    <m/>
  </r>
  <r>
    <x v="1"/>
    <x v="7"/>
    <m/>
    <m/>
    <n v="553.24329211310919"/>
    <m/>
    <m/>
    <m/>
    <m/>
    <m/>
    <m/>
    <m/>
    <m/>
    <m/>
    <m/>
    <m/>
    <m/>
    <m/>
    <m/>
    <m/>
    <m/>
    <m/>
    <m/>
    <m/>
    <m/>
  </r>
  <r>
    <x v="2"/>
    <x v="0"/>
    <m/>
    <m/>
    <n v="51.333333333333343"/>
    <m/>
    <m/>
    <m/>
    <m/>
    <m/>
    <m/>
    <m/>
    <m/>
    <m/>
    <m/>
    <m/>
    <m/>
    <m/>
    <m/>
    <m/>
    <m/>
    <m/>
    <m/>
    <m/>
    <m/>
  </r>
  <r>
    <x v="2"/>
    <x v="1"/>
    <m/>
    <m/>
    <n v="139.88333333333333"/>
    <m/>
    <m/>
    <m/>
    <m/>
    <m/>
    <m/>
    <m/>
    <m/>
    <m/>
    <m/>
    <m/>
    <m/>
    <m/>
    <m/>
    <m/>
    <m/>
    <m/>
    <m/>
    <m/>
    <m/>
  </r>
  <r>
    <x v="2"/>
    <x v="2"/>
    <m/>
    <m/>
    <n v="134.75"/>
    <m/>
    <m/>
    <m/>
    <m/>
    <m/>
    <m/>
    <m/>
    <m/>
    <m/>
    <m/>
    <m/>
    <m/>
    <m/>
    <m/>
    <m/>
    <m/>
    <m/>
    <m/>
    <m/>
    <m/>
  </r>
  <r>
    <x v="2"/>
    <x v="3"/>
    <m/>
    <m/>
    <n v="132.18333333333334"/>
    <m/>
    <m/>
    <m/>
    <m/>
    <m/>
    <m/>
    <m/>
    <m/>
    <m/>
    <m/>
    <m/>
    <m/>
    <m/>
    <m/>
    <m/>
    <m/>
    <m/>
    <m/>
    <m/>
    <m/>
  </r>
  <r>
    <x v="2"/>
    <x v="4"/>
    <m/>
    <m/>
    <n v="129.61666666666667"/>
    <m/>
    <m/>
    <m/>
    <m/>
    <m/>
    <m/>
    <m/>
    <m/>
    <m/>
    <m/>
    <m/>
    <m/>
    <m/>
    <m/>
    <m/>
    <m/>
    <m/>
    <m/>
    <m/>
    <m/>
  </r>
  <r>
    <x v="2"/>
    <x v="5"/>
    <m/>
    <m/>
    <n v="125.76666666666665"/>
    <m/>
    <m/>
    <m/>
    <m/>
    <m/>
    <m/>
    <m/>
    <m/>
    <m/>
    <m/>
    <m/>
    <m/>
    <m/>
    <m/>
    <m/>
    <m/>
    <m/>
    <m/>
    <m/>
    <m/>
  </r>
  <r>
    <x v="2"/>
    <x v="6"/>
    <m/>
    <m/>
    <n v="120.63333333333333"/>
    <m/>
    <m/>
    <m/>
    <m/>
    <m/>
    <m/>
    <m/>
    <m/>
    <m/>
    <m/>
    <m/>
    <m/>
    <m/>
    <m/>
    <m/>
    <m/>
    <m/>
    <m/>
    <m/>
    <m/>
  </r>
  <r>
    <x v="2"/>
    <x v="7"/>
    <m/>
    <m/>
    <n v="833.16342676936665"/>
    <m/>
    <m/>
    <m/>
    <m/>
    <m/>
    <m/>
    <m/>
    <m/>
    <m/>
    <m/>
    <m/>
    <m/>
    <m/>
    <m/>
    <m/>
    <m/>
    <m/>
    <m/>
    <m/>
    <m/>
  </r>
  <r>
    <x v="3"/>
    <x v="0"/>
    <m/>
    <m/>
    <n v="25.866666666666674"/>
    <m/>
    <m/>
    <m/>
    <m/>
    <m/>
    <m/>
    <m/>
    <m/>
    <m/>
    <m/>
    <m/>
    <m/>
    <m/>
    <m/>
    <m/>
    <m/>
    <m/>
    <m/>
    <m/>
    <m/>
  </r>
  <r>
    <x v="3"/>
    <x v="1"/>
    <m/>
    <m/>
    <n v="70.48666666666665"/>
    <m/>
    <m/>
    <m/>
    <m/>
    <m/>
    <m/>
    <m/>
    <m/>
    <m/>
    <m/>
    <m/>
    <m/>
    <m/>
    <m/>
    <m/>
    <m/>
    <m/>
    <m/>
    <m/>
    <m/>
  </r>
  <r>
    <x v="3"/>
    <x v="2"/>
    <m/>
    <m/>
    <n v="67.900000000000006"/>
    <m/>
    <m/>
    <m/>
    <m/>
    <m/>
    <m/>
    <m/>
    <m/>
    <m/>
    <m/>
    <m/>
    <m/>
    <m/>
    <m/>
    <m/>
    <m/>
    <m/>
    <m/>
    <m/>
    <m/>
  </r>
  <r>
    <x v="3"/>
    <x v="3"/>
    <m/>
    <m/>
    <n v="66.606666666666683"/>
    <m/>
    <m/>
    <m/>
    <m/>
    <m/>
    <m/>
    <m/>
    <m/>
    <m/>
    <m/>
    <m/>
    <m/>
    <m/>
    <m/>
    <m/>
    <m/>
    <m/>
    <m/>
    <m/>
    <m/>
  </r>
  <r>
    <x v="3"/>
    <x v="4"/>
    <m/>
    <m/>
    <n v="65.313333333333333"/>
    <m/>
    <m/>
    <m/>
    <m/>
    <m/>
    <m/>
    <m/>
    <m/>
    <m/>
    <m/>
    <m/>
    <m/>
    <m/>
    <m/>
    <m/>
    <m/>
    <m/>
    <m/>
    <m/>
    <m/>
  </r>
  <r>
    <x v="3"/>
    <x v="5"/>
    <m/>
    <m/>
    <n v="63.373333333333335"/>
    <m/>
    <m/>
    <m/>
    <m/>
    <m/>
    <m/>
    <m/>
    <m/>
    <m/>
    <m/>
    <m/>
    <m/>
    <m/>
    <m/>
    <m/>
    <m/>
    <m/>
    <m/>
    <m/>
    <m/>
  </r>
  <r>
    <x v="3"/>
    <x v="6"/>
    <m/>
    <m/>
    <n v="60.786666666666662"/>
    <m/>
    <m/>
    <m/>
    <m/>
    <m/>
    <m/>
    <m/>
    <m/>
    <m/>
    <m/>
    <m/>
    <m/>
    <m/>
    <m/>
    <m/>
    <m/>
    <m/>
    <m/>
    <m/>
    <m/>
  </r>
  <r>
    <x v="3"/>
    <x v="7"/>
    <m/>
    <m/>
    <n v="421.02396634152319"/>
    <m/>
    <m/>
    <m/>
    <m/>
    <m/>
    <m/>
    <m/>
    <m/>
    <m/>
    <m/>
    <m/>
    <m/>
    <m/>
    <m/>
    <m/>
    <m/>
    <m/>
    <m/>
    <m/>
    <m/>
  </r>
  <r>
    <x v="4"/>
    <x v="0"/>
    <m/>
    <m/>
    <n v="2.6666666666666661"/>
    <m/>
    <m/>
    <m/>
    <m/>
    <m/>
    <m/>
    <m/>
    <m/>
    <m/>
    <m/>
    <m/>
    <m/>
    <m/>
    <m/>
    <m/>
    <m/>
    <m/>
    <m/>
    <m/>
    <m/>
  </r>
  <r>
    <x v="4"/>
    <x v="1"/>
    <m/>
    <m/>
    <n v="7.2666666666666657"/>
    <m/>
    <m/>
    <m/>
    <m/>
    <m/>
    <m/>
    <m/>
    <m/>
    <m/>
    <m/>
    <m/>
    <m/>
    <m/>
    <m/>
    <m/>
    <m/>
    <m/>
    <m/>
    <m/>
    <m/>
  </r>
  <r>
    <x v="4"/>
    <x v="2"/>
    <m/>
    <m/>
    <n v="7"/>
    <m/>
    <m/>
    <m/>
    <m/>
    <m/>
    <m/>
    <m/>
    <m/>
    <m/>
    <m/>
    <m/>
    <m/>
    <m/>
    <m/>
    <m/>
    <m/>
    <m/>
    <m/>
    <m/>
    <m/>
  </r>
  <r>
    <x v="4"/>
    <x v="3"/>
    <m/>
    <m/>
    <n v="6.8666666666666671"/>
    <m/>
    <m/>
    <m/>
    <m/>
    <m/>
    <m/>
    <m/>
    <m/>
    <m/>
    <m/>
    <m/>
    <m/>
    <m/>
    <m/>
    <m/>
    <m/>
    <m/>
    <m/>
    <m/>
    <m/>
  </r>
  <r>
    <x v="4"/>
    <x v="4"/>
    <m/>
    <m/>
    <n v="6.7333333333333343"/>
    <m/>
    <m/>
    <m/>
    <m/>
    <m/>
    <m/>
    <m/>
    <m/>
    <m/>
    <m/>
    <m/>
    <m/>
    <m/>
    <m/>
    <m/>
    <m/>
    <m/>
    <m/>
    <m/>
    <m/>
  </r>
  <r>
    <x v="4"/>
    <x v="5"/>
    <m/>
    <m/>
    <n v="6.533333333333335"/>
    <m/>
    <m/>
    <m/>
    <m/>
    <m/>
    <m/>
    <m/>
    <m/>
    <m/>
    <m/>
    <m/>
    <m/>
    <m/>
    <m/>
    <m/>
    <m/>
    <m/>
    <m/>
    <m/>
    <m/>
  </r>
  <r>
    <x v="4"/>
    <x v="6"/>
    <m/>
    <m/>
    <n v="6.2666666666666657"/>
    <m/>
    <m/>
    <m/>
    <m/>
    <m/>
    <m/>
    <m/>
    <m/>
    <m/>
    <m/>
    <m/>
    <m/>
    <m/>
    <m/>
    <m/>
    <m/>
    <m/>
    <m/>
    <m/>
    <m/>
  </r>
  <r>
    <x v="4"/>
    <x v="7"/>
    <m/>
    <m/>
    <n v="43.707635777150557"/>
    <m/>
    <m/>
    <m/>
    <m/>
    <m/>
    <m/>
    <m/>
    <m/>
    <m/>
    <m/>
    <m/>
    <m/>
    <m/>
    <m/>
    <m/>
    <m/>
    <m/>
    <m/>
    <m/>
    <m/>
  </r>
  <r>
    <x v="5"/>
    <x v="0"/>
    <m/>
    <m/>
    <n v="32"/>
    <m/>
    <m/>
    <m/>
    <m/>
    <m/>
    <m/>
    <m/>
    <m/>
    <m/>
    <m/>
    <m/>
    <m/>
    <m/>
    <m/>
    <m/>
    <m/>
    <m/>
    <m/>
    <m/>
    <m/>
  </r>
  <r>
    <x v="5"/>
    <x v="1"/>
    <m/>
    <m/>
    <n v="87.199999999999989"/>
    <m/>
    <m/>
    <m/>
    <m/>
    <m/>
    <m/>
    <m/>
    <m/>
    <m/>
    <m/>
    <m/>
    <m/>
    <m/>
    <m/>
    <m/>
    <m/>
    <m/>
    <m/>
    <m/>
    <m/>
  </r>
  <r>
    <x v="5"/>
    <x v="2"/>
    <m/>
    <m/>
    <n v="84"/>
    <m/>
    <m/>
    <m/>
    <m/>
    <m/>
    <m/>
    <m/>
    <m/>
    <m/>
    <m/>
    <m/>
    <m/>
    <m/>
    <m/>
    <m/>
    <m/>
    <m/>
    <m/>
    <m/>
    <m/>
  </r>
  <r>
    <x v="5"/>
    <x v="3"/>
    <m/>
    <m/>
    <n v="82.4"/>
    <m/>
    <m/>
    <m/>
    <m/>
    <m/>
    <m/>
    <m/>
    <m/>
    <m/>
    <m/>
    <m/>
    <m/>
    <m/>
    <m/>
    <m/>
    <m/>
    <m/>
    <m/>
    <m/>
    <m/>
  </r>
  <r>
    <x v="5"/>
    <x v="4"/>
    <m/>
    <m/>
    <n v="80.799999999999983"/>
    <m/>
    <m/>
    <m/>
    <m/>
    <m/>
    <m/>
    <m/>
    <m/>
    <m/>
    <m/>
    <m/>
    <m/>
    <m/>
    <m/>
    <m/>
    <m/>
    <m/>
    <m/>
    <m/>
    <m/>
  </r>
  <r>
    <x v="5"/>
    <x v="5"/>
    <m/>
    <m/>
    <n v="78.400000000000006"/>
    <m/>
    <m/>
    <m/>
    <m/>
    <m/>
    <m/>
    <m/>
    <m/>
    <m/>
    <m/>
    <m/>
    <m/>
    <m/>
    <m/>
    <m/>
    <m/>
    <m/>
    <m/>
    <m/>
    <m/>
  </r>
  <r>
    <x v="5"/>
    <x v="6"/>
    <m/>
    <m/>
    <n v="75.200000000000017"/>
    <m/>
    <m/>
    <m/>
    <m/>
    <m/>
    <m/>
    <m/>
    <m/>
    <m/>
    <m/>
    <m/>
    <m/>
    <m/>
    <m/>
    <m/>
    <m/>
    <m/>
    <m/>
    <m/>
    <m/>
  </r>
  <r>
    <x v="5"/>
    <x v="7"/>
    <m/>
    <m/>
    <n v="520.54482446431166"/>
    <m/>
    <m/>
    <m/>
    <m/>
    <m/>
    <m/>
    <m/>
    <m/>
    <m/>
    <m/>
    <m/>
    <m/>
    <m/>
    <m/>
    <m/>
    <m/>
    <m/>
    <m/>
    <m/>
    <m/>
  </r>
  <r>
    <x v="6"/>
    <x v="0"/>
    <m/>
    <m/>
    <n v="6.6666666666666679"/>
    <m/>
    <m/>
    <m/>
    <m/>
    <m/>
    <m/>
    <m/>
    <m/>
    <m/>
    <m/>
    <m/>
    <m/>
    <m/>
    <m/>
    <m/>
    <m/>
    <m/>
    <m/>
    <m/>
    <m/>
  </r>
  <r>
    <x v="6"/>
    <x v="1"/>
    <m/>
    <m/>
    <n v="18.166666666666671"/>
    <m/>
    <m/>
    <m/>
    <m/>
    <m/>
    <m/>
    <m/>
    <m/>
    <m/>
    <m/>
    <m/>
    <m/>
    <m/>
    <m/>
    <m/>
    <m/>
    <m/>
    <m/>
    <m/>
    <m/>
  </r>
  <r>
    <x v="6"/>
    <x v="2"/>
    <m/>
    <m/>
    <n v="17.5"/>
    <m/>
    <m/>
    <m/>
    <m/>
    <m/>
    <m/>
    <m/>
    <m/>
    <m/>
    <m/>
    <m/>
    <m/>
    <m/>
    <m/>
    <m/>
    <m/>
    <m/>
    <m/>
    <m/>
    <m/>
  </r>
  <r>
    <x v="6"/>
    <x v="3"/>
    <m/>
    <m/>
    <n v="17.166666666666671"/>
    <m/>
    <m/>
    <m/>
    <m/>
    <m/>
    <m/>
    <m/>
    <m/>
    <m/>
    <m/>
    <m/>
    <m/>
    <m/>
    <m/>
    <m/>
    <m/>
    <m/>
    <m/>
    <m/>
    <m/>
  </r>
  <r>
    <x v="6"/>
    <x v="4"/>
    <m/>
    <m/>
    <n v="16.833333333333329"/>
    <m/>
    <m/>
    <m/>
    <m/>
    <m/>
    <m/>
    <m/>
    <m/>
    <m/>
    <m/>
    <m/>
    <m/>
    <m/>
    <m/>
    <m/>
    <m/>
    <m/>
    <m/>
    <m/>
    <m/>
  </r>
  <r>
    <x v="6"/>
    <x v="5"/>
    <m/>
    <m/>
    <n v="16.333333333333329"/>
    <m/>
    <m/>
    <m/>
    <m/>
    <m/>
    <m/>
    <m/>
    <m/>
    <m/>
    <m/>
    <m/>
    <m/>
    <m/>
    <m/>
    <m/>
    <m/>
    <m/>
    <m/>
    <m/>
    <m/>
  </r>
  <r>
    <x v="6"/>
    <x v="6"/>
    <m/>
    <m/>
    <n v="15.666666666666664"/>
    <m/>
    <m/>
    <m/>
    <m/>
    <m/>
    <m/>
    <m/>
    <m/>
    <m/>
    <m/>
    <m/>
    <m/>
    <m/>
    <m/>
    <m/>
    <m/>
    <m/>
    <m/>
    <m/>
    <m/>
  </r>
  <r>
    <x v="6"/>
    <x v="7"/>
    <m/>
    <m/>
    <n v="108.33850414785871"/>
    <m/>
    <m/>
    <m/>
    <m/>
    <m/>
    <m/>
    <m/>
    <m/>
    <m/>
    <m/>
    <m/>
    <m/>
    <m/>
    <m/>
    <m/>
    <m/>
    <m/>
    <m/>
    <m/>
    <m/>
  </r>
  <r>
    <x v="7"/>
    <x v="0"/>
    <m/>
    <m/>
    <n v="3.8666666666666671"/>
    <m/>
    <m/>
    <m/>
    <m/>
    <m/>
    <m/>
    <m/>
    <m/>
    <m/>
    <m/>
    <m/>
    <m/>
    <m/>
    <m/>
    <m/>
    <m/>
    <m/>
    <m/>
    <m/>
    <m/>
  </r>
  <r>
    <x v="7"/>
    <x v="1"/>
    <m/>
    <m/>
    <n v="10.536666666666669"/>
    <m/>
    <m/>
    <m/>
    <m/>
    <m/>
    <m/>
    <m/>
    <m/>
    <m/>
    <m/>
    <m/>
    <m/>
    <m/>
    <m/>
    <m/>
    <m/>
    <m/>
    <m/>
    <m/>
    <m/>
  </r>
  <r>
    <x v="7"/>
    <x v="2"/>
    <m/>
    <m/>
    <n v="10.150000000000002"/>
    <m/>
    <m/>
    <m/>
    <m/>
    <m/>
    <m/>
    <m/>
    <m/>
    <m/>
    <m/>
    <m/>
    <m/>
    <m/>
    <m/>
    <m/>
    <m/>
    <m/>
    <m/>
    <m/>
    <m/>
  </r>
  <r>
    <x v="7"/>
    <x v="3"/>
    <m/>
    <m/>
    <n v="9.9566666666666634"/>
    <m/>
    <m/>
    <m/>
    <m/>
    <m/>
    <m/>
    <m/>
    <m/>
    <m/>
    <m/>
    <m/>
    <m/>
    <m/>
    <m/>
    <m/>
    <m/>
    <m/>
    <m/>
    <m/>
    <m/>
  </r>
  <r>
    <x v="7"/>
    <x v="4"/>
    <m/>
    <m/>
    <n v="9.7633333333333354"/>
    <m/>
    <m/>
    <m/>
    <m/>
    <m/>
    <m/>
    <m/>
    <m/>
    <m/>
    <m/>
    <m/>
    <m/>
    <m/>
    <m/>
    <m/>
    <m/>
    <m/>
    <m/>
    <m/>
    <m/>
  </r>
  <r>
    <x v="7"/>
    <x v="5"/>
    <m/>
    <m/>
    <n v="9.4733333333333327"/>
    <m/>
    <m/>
    <m/>
    <m/>
    <m/>
    <m/>
    <m/>
    <m/>
    <m/>
    <m/>
    <m/>
    <m/>
    <m/>
    <m/>
    <m/>
    <m/>
    <m/>
    <m/>
    <m/>
    <m/>
  </r>
  <r>
    <x v="7"/>
    <x v="6"/>
    <m/>
    <m/>
    <n v="9.086666666666666"/>
    <m/>
    <m/>
    <m/>
    <m/>
    <m/>
    <m/>
    <m/>
    <m/>
    <m/>
    <m/>
    <m/>
    <m/>
    <m/>
    <m/>
    <m/>
    <m/>
    <m/>
    <m/>
    <m/>
    <m/>
  </r>
  <r>
    <x v="7"/>
    <x v="7"/>
    <m/>
    <m/>
    <n v="62.081523592704144"/>
    <m/>
    <m/>
    <m/>
    <m/>
    <m/>
    <m/>
    <m/>
    <m/>
    <m/>
    <m/>
    <m/>
    <m/>
    <m/>
    <m/>
    <m/>
    <m/>
    <m/>
    <m/>
    <m/>
    <m/>
  </r>
  <r>
    <x v="8"/>
    <x v="0"/>
    <m/>
    <m/>
    <n v="11.866666666666667"/>
    <m/>
    <m/>
    <m/>
    <m/>
    <m/>
    <m/>
    <m/>
    <m/>
    <m/>
    <m/>
    <m/>
    <m/>
    <m/>
    <m/>
    <m/>
    <m/>
    <m/>
    <m/>
    <m/>
    <m/>
  </r>
  <r>
    <x v="8"/>
    <x v="1"/>
    <m/>
    <m/>
    <n v="32.336666666666659"/>
    <m/>
    <m/>
    <m/>
    <m/>
    <m/>
    <m/>
    <m/>
    <m/>
    <m/>
    <m/>
    <m/>
    <m/>
    <m/>
    <m/>
    <m/>
    <m/>
    <m/>
    <m/>
    <m/>
    <m/>
  </r>
  <r>
    <x v="8"/>
    <x v="2"/>
    <m/>
    <m/>
    <n v="31.150000000000006"/>
    <m/>
    <m/>
    <m/>
    <m/>
    <m/>
    <m/>
    <m/>
    <m/>
    <m/>
    <m/>
    <m/>
    <m/>
    <m/>
    <m/>
    <m/>
    <m/>
    <m/>
    <m/>
    <m/>
    <m/>
  </r>
  <r>
    <x v="8"/>
    <x v="3"/>
    <m/>
    <m/>
    <n v="30.556666666666672"/>
    <m/>
    <m/>
    <m/>
    <m/>
    <m/>
    <m/>
    <m/>
    <m/>
    <m/>
    <m/>
    <m/>
    <m/>
    <m/>
    <m/>
    <m/>
    <m/>
    <m/>
    <m/>
    <m/>
    <m/>
  </r>
  <r>
    <x v="8"/>
    <x v="4"/>
    <m/>
    <m/>
    <n v="29.963333333333338"/>
    <m/>
    <m/>
    <m/>
    <m/>
    <m/>
    <m/>
    <m/>
    <m/>
    <m/>
    <m/>
    <m/>
    <m/>
    <m/>
    <m/>
    <m/>
    <m/>
    <m/>
    <m/>
    <m/>
    <m/>
  </r>
  <r>
    <x v="8"/>
    <x v="5"/>
    <m/>
    <m/>
    <n v="29.073333333333338"/>
    <m/>
    <m/>
    <m/>
    <m/>
    <m/>
    <m/>
    <m/>
    <m/>
    <m/>
    <m/>
    <m/>
    <m/>
    <m/>
    <m/>
    <m/>
    <m/>
    <m/>
    <m/>
    <m/>
    <m/>
  </r>
  <r>
    <x v="8"/>
    <x v="6"/>
    <m/>
    <m/>
    <n v="27.88666666666667"/>
    <m/>
    <m/>
    <m/>
    <m/>
    <m/>
    <m/>
    <m/>
    <m/>
    <m/>
    <m/>
    <m/>
    <m/>
    <m/>
    <m/>
    <m/>
    <m/>
    <m/>
    <m/>
    <m/>
    <m/>
  </r>
  <r>
    <x v="8"/>
    <x v="7"/>
    <m/>
    <m/>
    <n v="116.05274128189069"/>
    <m/>
    <m/>
    <m/>
    <m/>
    <m/>
    <m/>
    <m/>
    <m/>
    <m/>
    <m/>
    <m/>
    <m/>
    <m/>
    <m/>
    <m/>
    <m/>
    <m/>
    <m/>
    <m/>
    <m/>
  </r>
  <r>
    <x v="9"/>
    <x v="0"/>
    <m/>
    <m/>
    <n v="149.20000000000005"/>
    <m/>
    <m/>
    <m/>
    <m/>
    <m/>
    <m/>
    <m/>
    <m/>
    <m/>
    <m/>
    <m/>
    <m/>
    <m/>
    <m/>
    <m/>
    <m/>
    <m/>
    <m/>
    <m/>
    <m/>
  </r>
  <r>
    <x v="9"/>
    <x v="1"/>
    <m/>
    <m/>
    <n v="406.56999999999994"/>
    <m/>
    <m/>
    <m/>
    <m/>
    <m/>
    <m/>
    <m/>
    <m/>
    <m/>
    <m/>
    <m/>
    <m/>
    <m/>
    <m/>
    <m/>
    <m/>
    <m/>
    <m/>
    <m/>
    <m/>
  </r>
  <r>
    <x v="9"/>
    <x v="2"/>
    <m/>
    <m/>
    <n v="391.65000000000009"/>
    <m/>
    <m/>
    <m/>
    <m/>
    <m/>
    <m/>
    <m/>
    <m/>
    <m/>
    <m/>
    <m/>
    <m/>
    <m/>
    <m/>
    <m/>
    <m/>
    <m/>
    <m/>
    <m/>
    <m/>
  </r>
  <r>
    <x v="9"/>
    <x v="3"/>
    <m/>
    <m/>
    <n v="384.19000000000005"/>
    <m/>
    <m/>
    <m/>
    <m/>
    <m/>
    <m/>
    <m/>
    <m/>
    <m/>
    <m/>
    <m/>
    <m/>
    <m/>
    <m/>
    <m/>
    <m/>
    <m/>
    <m/>
    <m/>
    <m/>
  </r>
  <r>
    <x v="9"/>
    <x v="4"/>
    <m/>
    <m/>
    <n v="376.73"/>
    <m/>
    <m/>
    <m/>
    <m/>
    <m/>
    <m/>
    <m/>
    <m/>
    <m/>
    <m/>
    <m/>
    <m/>
    <m/>
    <m/>
    <m/>
    <m/>
    <m/>
    <m/>
    <m/>
    <m/>
  </r>
  <r>
    <x v="9"/>
    <x v="5"/>
    <m/>
    <m/>
    <n v="365.53999999999996"/>
    <m/>
    <m/>
    <m/>
    <m/>
    <m/>
    <m/>
    <m/>
    <m/>
    <m/>
    <m/>
    <m/>
    <m/>
    <m/>
    <m/>
    <m/>
    <m/>
    <m/>
    <m/>
    <m/>
    <m/>
  </r>
  <r>
    <x v="9"/>
    <x v="6"/>
    <m/>
    <m/>
    <n v="350.61999999999989"/>
    <m/>
    <m/>
    <m/>
    <m/>
    <m/>
    <m/>
    <m/>
    <m/>
    <m/>
    <m/>
    <m/>
    <m/>
    <m/>
    <m/>
    <m/>
    <m/>
    <m/>
    <m/>
    <m/>
    <m/>
  </r>
  <r>
    <x v="9"/>
    <x v="7"/>
    <m/>
    <m/>
    <n v="2425.6083990430652"/>
    <m/>
    <m/>
    <m/>
    <m/>
    <m/>
    <m/>
    <m/>
    <m/>
    <m/>
    <m/>
    <m/>
    <m/>
    <m/>
    <m/>
    <m/>
    <m/>
    <m/>
    <m/>
    <m/>
    <m/>
  </r>
  <r>
    <x v="10"/>
    <x v="0"/>
    <m/>
    <m/>
    <n v="109.06666666666666"/>
    <m/>
    <m/>
    <m/>
    <m/>
    <m/>
    <m/>
    <m/>
    <m/>
    <m/>
    <m/>
    <m/>
    <m/>
    <m/>
    <m/>
    <m/>
    <m/>
    <m/>
    <m/>
    <m/>
    <m/>
  </r>
  <r>
    <x v="10"/>
    <x v="1"/>
    <m/>
    <m/>
    <n v="297.20666666666659"/>
    <m/>
    <m/>
    <m/>
    <m/>
    <m/>
    <m/>
    <m/>
    <m/>
    <m/>
    <m/>
    <m/>
    <m/>
    <m/>
    <m/>
    <m/>
    <m/>
    <m/>
    <m/>
    <m/>
    <m/>
  </r>
  <r>
    <x v="10"/>
    <x v="2"/>
    <m/>
    <m/>
    <n v="286.30000000000007"/>
    <m/>
    <m/>
    <m/>
    <m/>
    <m/>
    <m/>
    <m/>
    <m/>
    <m/>
    <m/>
    <m/>
    <m/>
    <m/>
    <m/>
    <m/>
    <m/>
    <m/>
    <m/>
    <m/>
    <m/>
  </r>
  <r>
    <x v="10"/>
    <x v="3"/>
    <m/>
    <m/>
    <n v="280.84666666666658"/>
    <m/>
    <m/>
    <m/>
    <m/>
    <m/>
    <m/>
    <m/>
    <m/>
    <m/>
    <m/>
    <m/>
    <m/>
    <m/>
    <m/>
    <m/>
    <m/>
    <m/>
    <m/>
    <m/>
    <m/>
  </r>
  <r>
    <x v="10"/>
    <x v="4"/>
    <m/>
    <m/>
    <n v="275.39333333333332"/>
    <m/>
    <m/>
    <m/>
    <m/>
    <m/>
    <m/>
    <m/>
    <m/>
    <m/>
    <m/>
    <m/>
    <m/>
    <m/>
    <m/>
    <m/>
    <m/>
    <m/>
    <m/>
    <m/>
    <m/>
  </r>
  <r>
    <x v="10"/>
    <x v="5"/>
    <m/>
    <m/>
    <n v="267.21333333333325"/>
    <m/>
    <m/>
    <m/>
    <m/>
    <m/>
    <m/>
    <m/>
    <m/>
    <m/>
    <m/>
    <m/>
    <m/>
    <m/>
    <m/>
    <m/>
    <m/>
    <m/>
    <m/>
    <m/>
    <m/>
  </r>
  <r>
    <x v="10"/>
    <x v="6"/>
    <m/>
    <m/>
    <n v="256.30666666666673"/>
    <m/>
    <m/>
    <m/>
    <m/>
    <m/>
    <m/>
    <m/>
    <m/>
    <m/>
    <m/>
    <m/>
    <m/>
    <m/>
    <m/>
    <m/>
    <m/>
    <m/>
    <m/>
    <m/>
    <m/>
  </r>
  <r>
    <x v="10"/>
    <x v="7"/>
    <m/>
    <m/>
    <n v="1772.7246928728964"/>
    <m/>
    <m/>
    <m/>
    <m/>
    <m/>
    <m/>
    <m/>
    <m/>
    <m/>
    <m/>
    <m/>
    <m/>
    <m/>
    <m/>
    <m/>
    <m/>
    <m/>
    <m/>
    <m/>
    <m/>
  </r>
  <r>
    <x v="11"/>
    <x v="0"/>
    <m/>
    <m/>
    <n v="73.599999999999994"/>
    <m/>
    <m/>
    <m/>
    <m/>
    <m/>
    <m/>
    <m/>
    <m/>
    <m/>
    <m/>
    <m/>
    <m/>
    <m/>
    <m/>
    <m/>
    <m/>
    <m/>
    <m/>
    <m/>
    <m/>
  </r>
  <r>
    <x v="11"/>
    <x v="1"/>
    <m/>
    <m/>
    <n v="200.55999999999995"/>
    <m/>
    <m/>
    <m/>
    <m/>
    <m/>
    <m/>
    <m/>
    <m/>
    <m/>
    <m/>
    <m/>
    <m/>
    <m/>
    <m/>
    <m/>
    <m/>
    <m/>
    <m/>
    <m/>
    <m/>
  </r>
  <r>
    <x v="11"/>
    <x v="2"/>
    <m/>
    <m/>
    <n v="193.20000000000005"/>
    <m/>
    <m/>
    <m/>
    <m/>
    <m/>
    <m/>
    <m/>
    <m/>
    <m/>
    <m/>
    <m/>
    <m/>
    <m/>
    <m/>
    <m/>
    <m/>
    <m/>
    <m/>
    <m/>
    <m/>
  </r>
  <r>
    <x v="11"/>
    <x v="3"/>
    <m/>
    <m/>
    <n v="189.51999999999998"/>
    <m/>
    <m/>
    <m/>
    <m/>
    <m/>
    <m/>
    <m/>
    <m/>
    <m/>
    <m/>
    <m/>
    <m/>
    <m/>
    <m/>
    <m/>
    <m/>
    <m/>
    <m/>
    <m/>
    <m/>
  </r>
  <r>
    <x v="11"/>
    <x v="4"/>
    <m/>
    <m/>
    <n v="185.84000000000003"/>
    <m/>
    <m/>
    <m/>
    <m/>
    <m/>
    <m/>
    <m/>
    <m/>
    <m/>
    <m/>
    <m/>
    <m/>
    <m/>
    <m/>
    <m/>
    <m/>
    <m/>
    <m/>
    <m/>
    <m/>
  </r>
  <r>
    <x v="11"/>
    <x v="5"/>
    <m/>
    <m/>
    <n v="180.32000000000005"/>
    <m/>
    <m/>
    <m/>
    <m/>
    <m/>
    <m/>
    <m/>
    <m/>
    <m/>
    <m/>
    <m/>
    <m/>
    <m/>
    <m/>
    <m/>
    <m/>
    <m/>
    <m/>
    <m/>
    <m/>
  </r>
  <r>
    <x v="11"/>
    <x v="6"/>
    <m/>
    <m/>
    <n v="172.96000000000004"/>
    <m/>
    <m/>
    <m/>
    <m/>
    <m/>
    <m/>
    <m/>
    <m/>
    <m/>
    <m/>
    <m/>
    <m/>
    <m/>
    <m/>
    <m/>
    <m/>
    <m/>
    <m/>
    <m/>
    <m/>
  </r>
  <r>
    <x v="11"/>
    <x v="7"/>
    <m/>
    <m/>
    <n v="1195.6145360455871"/>
    <m/>
    <m/>
    <m/>
    <m/>
    <m/>
    <m/>
    <m/>
    <m/>
    <m/>
    <m/>
    <m/>
    <m/>
    <m/>
    <m/>
    <m/>
    <m/>
    <m/>
    <m/>
    <m/>
    <m/>
  </r>
  <r>
    <x v="12"/>
    <x v="0"/>
    <m/>
    <m/>
    <n v="57.73333333333332"/>
    <m/>
    <m/>
    <m/>
    <m/>
    <m/>
    <m/>
    <m/>
    <m/>
    <m/>
    <m/>
    <m/>
    <m/>
    <m/>
    <m/>
    <m/>
    <m/>
    <m/>
    <m/>
    <m/>
    <m/>
  </r>
  <r>
    <x v="12"/>
    <x v="1"/>
    <m/>
    <m/>
    <n v="157.32333333333332"/>
    <m/>
    <m/>
    <m/>
    <m/>
    <m/>
    <m/>
    <m/>
    <m/>
    <m/>
    <m/>
    <m/>
    <m/>
    <m/>
    <m/>
    <m/>
    <m/>
    <m/>
    <m/>
    <m/>
    <m/>
  </r>
  <r>
    <x v="12"/>
    <x v="2"/>
    <m/>
    <m/>
    <n v="151.54999999999995"/>
    <m/>
    <m/>
    <m/>
    <m/>
    <m/>
    <m/>
    <m/>
    <m/>
    <m/>
    <m/>
    <m/>
    <m/>
    <m/>
    <m/>
    <m/>
    <m/>
    <m/>
    <m/>
    <m/>
    <m/>
  </r>
  <r>
    <x v="12"/>
    <x v="3"/>
    <m/>
    <m/>
    <n v="148.6633333333333"/>
    <m/>
    <m/>
    <m/>
    <m/>
    <m/>
    <m/>
    <m/>
    <m/>
    <m/>
    <m/>
    <m/>
    <m/>
    <m/>
    <m/>
    <m/>
    <m/>
    <m/>
    <m/>
    <m/>
    <m/>
  </r>
  <r>
    <x v="12"/>
    <x v="4"/>
    <m/>
    <m/>
    <n v="145.7766666666667"/>
    <m/>
    <m/>
    <m/>
    <m/>
    <m/>
    <m/>
    <m/>
    <m/>
    <m/>
    <m/>
    <m/>
    <m/>
    <m/>
    <m/>
    <m/>
    <m/>
    <m/>
    <m/>
    <m/>
    <m/>
  </r>
  <r>
    <x v="12"/>
    <x v="5"/>
    <m/>
    <m/>
    <n v="141.44666666666666"/>
    <m/>
    <m/>
    <m/>
    <m/>
    <m/>
    <m/>
    <m/>
    <m/>
    <m/>
    <m/>
    <m/>
    <m/>
    <m/>
    <m/>
    <m/>
    <m/>
    <m/>
    <m/>
    <m/>
    <m/>
  </r>
  <r>
    <x v="12"/>
    <x v="6"/>
    <m/>
    <m/>
    <n v="135.67333333333329"/>
    <m/>
    <m/>
    <m/>
    <m/>
    <m/>
    <m/>
    <m/>
    <m/>
    <m/>
    <m/>
    <m/>
    <m/>
    <m/>
    <m/>
    <m/>
    <m/>
    <m/>
    <m/>
    <m/>
    <m/>
  </r>
  <r>
    <x v="12"/>
    <x v="7"/>
    <m/>
    <m/>
    <n v="938.65605804368261"/>
    <m/>
    <m/>
    <m/>
    <m/>
    <m/>
    <m/>
    <m/>
    <m/>
    <m/>
    <m/>
    <m/>
    <m/>
    <m/>
    <m/>
    <m/>
    <m/>
    <m/>
    <m/>
    <m/>
    <m/>
  </r>
  <r>
    <x v="13"/>
    <x v="0"/>
    <m/>
    <m/>
    <n v="13.600000000000001"/>
    <m/>
    <m/>
    <m/>
    <m/>
    <m/>
    <m/>
    <m/>
    <m/>
    <m/>
    <m/>
    <m/>
    <m/>
    <m/>
    <m/>
    <m/>
    <m/>
    <m/>
    <m/>
    <m/>
    <m/>
  </r>
  <r>
    <x v="13"/>
    <x v="1"/>
    <m/>
    <m/>
    <n v="37.06"/>
    <m/>
    <m/>
    <m/>
    <m/>
    <m/>
    <m/>
    <m/>
    <m/>
    <m/>
    <m/>
    <m/>
    <m/>
    <m/>
    <m/>
    <m/>
    <m/>
    <m/>
    <m/>
    <m/>
    <m/>
  </r>
  <r>
    <x v="13"/>
    <x v="2"/>
    <m/>
    <m/>
    <n v="35.700000000000003"/>
    <m/>
    <m/>
    <m/>
    <m/>
    <m/>
    <m/>
    <m/>
    <m/>
    <m/>
    <m/>
    <m/>
    <m/>
    <m/>
    <m/>
    <m/>
    <m/>
    <m/>
    <m/>
    <m/>
    <m/>
  </r>
  <r>
    <x v="13"/>
    <x v="3"/>
    <m/>
    <m/>
    <n v="35.02000000000001"/>
    <m/>
    <m/>
    <m/>
    <m/>
    <m/>
    <m/>
    <m/>
    <m/>
    <m/>
    <m/>
    <m/>
    <m/>
    <m/>
    <m/>
    <m/>
    <m/>
    <m/>
    <m/>
    <m/>
    <m/>
  </r>
  <r>
    <x v="13"/>
    <x v="4"/>
    <m/>
    <m/>
    <n v="34.340000000000003"/>
    <m/>
    <m/>
    <m/>
    <m/>
    <m/>
    <m/>
    <m/>
    <m/>
    <m/>
    <m/>
    <m/>
    <m/>
    <m/>
    <m/>
    <m/>
    <m/>
    <m/>
    <m/>
    <m/>
    <m/>
  </r>
  <r>
    <x v="13"/>
    <x v="5"/>
    <m/>
    <m/>
    <n v="33.319999999999993"/>
    <m/>
    <m/>
    <m/>
    <m/>
    <m/>
    <m/>
    <m/>
    <m/>
    <m/>
    <m/>
    <m/>
    <m/>
    <m/>
    <m/>
    <m/>
    <m/>
    <m/>
    <m/>
    <m/>
    <m/>
  </r>
  <r>
    <x v="13"/>
    <x v="6"/>
    <m/>
    <m/>
    <n v="31.960000000000008"/>
    <m/>
    <m/>
    <m/>
    <m/>
    <m/>
    <m/>
    <m/>
    <m/>
    <m/>
    <m/>
    <m/>
    <m/>
    <m/>
    <m/>
    <m/>
    <m/>
    <m/>
    <m/>
    <m/>
    <m/>
  </r>
  <r>
    <x v="13"/>
    <x v="7"/>
    <m/>
    <m/>
    <n v="221.14673841210106"/>
    <m/>
    <m/>
    <m/>
    <m/>
    <m/>
    <m/>
    <m/>
    <m/>
    <m/>
    <m/>
    <m/>
    <m/>
    <m/>
    <m/>
    <m/>
    <m/>
    <m/>
    <m/>
    <m/>
    <m/>
  </r>
  <r>
    <x v="14"/>
    <x v="0"/>
    <m/>
    <m/>
    <n v="144.13333333333338"/>
    <m/>
    <m/>
    <m/>
    <m/>
    <m/>
    <m/>
    <m/>
    <m/>
    <m/>
    <m/>
    <m/>
    <m/>
    <m/>
    <m/>
    <m/>
    <m/>
    <m/>
    <m/>
    <m/>
    <m/>
  </r>
  <r>
    <x v="14"/>
    <x v="1"/>
    <m/>
    <m/>
    <n v="392.76333333333332"/>
    <m/>
    <m/>
    <m/>
    <m/>
    <m/>
    <m/>
    <m/>
    <m/>
    <m/>
    <m/>
    <m/>
    <m/>
    <m/>
    <m/>
    <m/>
    <m/>
    <m/>
    <m/>
    <m/>
    <m/>
  </r>
  <r>
    <x v="14"/>
    <x v="2"/>
    <m/>
    <m/>
    <n v="378.34999999999991"/>
    <m/>
    <m/>
    <m/>
    <m/>
    <m/>
    <m/>
    <m/>
    <m/>
    <m/>
    <m/>
    <m/>
    <m/>
    <m/>
    <m/>
    <m/>
    <m/>
    <m/>
    <m/>
    <m/>
    <m/>
  </r>
  <r>
    <x v="14"/>
    <x v="3"/>
    <m/>
    <m/>
    <n v="371.14333333333343"/>
    <m/>
    <m/>
    <m/>
    <m/>
    <m/>
    <m/>
    <m/>
    <m/>
    <m/>
    <m/>
    <m/>
    <m/>
    <m/>
    <m/>
    <m/>
    <m/>
    <m/>
    <m/>
    <m/>
    <m/>
  </r>
  <r>
    <x v="14"/>
    <x v="4"/>
    <m/>
    <m/>
    <n v="363.93666666666672"/>
    <m/>
    <m/>
    <m/>
    <m/>
    <m/>
    <m/>
    <m/>
    <m/>
    <m/>
    <m/>
    <m/>
    <m/>
    <m/>
    <m/>
    <m/>
    <m/>
    <m/>
    <m/>
    <m/>
    <m/>
  </r>
  <r>
    <x v="14"/>
    <x v="5"/>
    <m/>
    <m/>
    <n v="353.12666666666678"/>
    <m/>
    <m/>
    <m/>
    <m/>
    <m/>
    <m/>
    <m/>
    <m/>
    <m/>
    <m/>
    <m/>
    <m/>
    <m/>
    <m/>
    <m/>
    <m/>
    <m/>
    <m/>
    <m/>
    <m/>
  </r>
  <r>
    <x v="14"/>
    <x v="6"/>
    <m/>
    <m/>
    <n v="338.71333333333325"/>
    <m/>
    <m/>
    <m/>
    <m/>
    <m/>
    <m/>
    <m/>
    <m/>
    <m/>
    <m/>
    <m/>
    <m/>
    <m/>
    <m/>
    <m/>
    <m/>
    <m/>
    <m/>
    <m/>
    <m/>
  </r>
  <r>
    <x v="14"/>
    <x v="7"/>
    <m/>
    <m/>
    <n v="2341.3236414823396"/>
    <m/>
    <m/>
    <m/>
    <m/>
    <m/>
    <m/>
    <m/>
    <m/>
    <m/>
    <m/>
    <m/>
    <m/>
    <m/>
    <m/>
    <m/>
    <m/>
    <m/>
    <m/>
    <m/>
    <m/>
  </r>
  <r>
    <x v="15"/>
    <x v="0"/>
    <m/>
    <m/>
    <n v="9.466666666666665"/>
    <m/>
    <m/>
    <m/>
    <m/>
    <m/>
    <m/>
    <m/>
    <m/>
    <m/>
    <m/>
    <m/>
    <m/>
    <m/>
    <m/>
    <m/>
    <m/>
    <m/>
    <m/>
    <m/>
    <m/>
  </r>
  <r>
    <x v="15"/>
    <x v="1"/>
    <m/>
    <m/>
    <n v="25.796666666666667"/>
    <m/>
    <m/>
    <m/>
    <m/>
    <m/>
    <m/>
    <m/>
    <m/>
    <m/>
    <m/>
    <m/>
    <m/>
    <m/>
    <m/>
    <m/>
    <m/>
    <m/>
    <m/>
    <m/>
    <m/>
  </r>
  <r>
    <x v="15"/>
    <x v="2"/>
    <m/>
    <m/>
    <n v="24.850000000000009"/>
    <m/>
    <m/>
    <m/>
    <m/>
    <m/>
    <m/>
    <m/>
    <m/>
    <m/>
    <m/>
    <m/>
    <m/>
    <m/>
    <m/>
    <m/>
    <m/>
    <m/>
    <m/>
    <m/>
    <m/>
  </r>
  <r>
    <x v="15"/>
    <x v="3"/>
    <m/>
    <m/>
    <n v="24.376666666666665"/>
    <m/>
    <m/>
    <m/>
    <m/>
    <m/>
    <m/>
    <m/>
    <m/>
    <m/>
    <m/>
    <m/>
    <m/>
    <m/>
    <m/>
    <m/>
    <m/>
    <m/>
    <m/>
    <m/>
    <m/>
  </r>
  <r>
    <x v="15"/>
    <x v="4"/>
    <m/>
    <m/>
    <n v="23.903333333333336"/>
    <m/>
    <m/>
    <m/>
    <m/>
    <m/>
    <m/>
    <m/>
    <m/>
    <m/>
    <m/>
    <m/>
    <m/>
    <m/>
    <m/>
    <m/>
    <m/>
    <m/>
    <m/>
    <m/>
    <m/>
  </r>
  <r>
    <x v="15"/>
    <x v="5"/>
    <m/>
    <m/>
    <n v="23.193333333333328"/>
    <m/>
    <m/>
    <m/>
    <m/>
    <m/>
    <m/>
    <m/>
    <m/>
    <m/>
    <m/>
    <m/>
    <m/>
    <m/>
    <m/>
    <m/>
    <m/>
    <m/>
    <m/>
    <m/>
    <m/>
  </r>
  <r>
    <x v="15"/>
    <x v="6"/>
    <m/>
    <m/>
    <n v="22.24666666666667"/>
    <m/>
    <m/>
    <m/>
    <m/>
    <m/>
    <m/>
    <m/>
    <m/>
    <m/>
    <m/>
    <m/>
    <m/>
    <m/>
    <m/>
    <m/>
    <m/>
    <m/>
    <m/>
    <m/>
    <m/>
  </r>
  <r>
    <x v="15"/>
    <x v="7"/>
    <m/>
    <m/>
    <n v="154.55884279212142"/>
    <m/>
    <m/>
    <m/>
    <m/>
    <m/>
    <m/>
    <m/>
    <m/>
    <m/>
    <m/>
    <m/>
    <m/>
    <m/>
    <m/>
    <m/>
    <m/>
    <m/>
    <m/>
    <m/>
    <m/>
  </r>
  <r>
    <x v="16"/>
    <x v="0"/>
    <m/>
    <m/>
    <n v="13.600000000000001"/>
    <m/>
    <m/>
    <m/>
    <m/>
    <m/>
    <m/>
    <m/>
    <m/>
    <m/>
    <m/>
    <m/>
    <m/>
    <m/>
    <m/>
    <m/>
    <m/>
    <m/>
    <m/>
    <m/>
    <m/>
  </r>
  <r>
    <x v="16"/>
    <x v="1"/>
    <m/>
    <m/>
    <n v="37.06"/>
    <m/>
    <m/>
    <m/>
    <m/>
    <m/>
    <m/>
    <m/>
    <m/>
    <m/>
    <m/>
    <m/>
    <m/>
    <m/>
    <m/>
    <m/>
    <m/>
    <m/>
    <m/>
    <m/>
    <m/>
  </r>
  <r>
    <x v="16"/>
    <x v="2"/>
    <m/>
    <m/>
    <n v="35.700000000000003"/>
    <m/>
    <m/>
    <m/>
    <m/>
    <m/>
    <m/>
    <m/>
    <m/>
    <m/>
    <m/>
    <m/>
    <m/>
    <m/>
    <m/>
    <m/>
    <m/>
    <m/>
    <m/>
    <m/>
    <m/>
  </r>
  <r>
    <x v="16"/>
    <x v="3"/>
    <m/>
    <m/>
    <n v="35.02000000000001"/>
    <m/>
    <m/>
    <m/>
    <m/>
    <m/>
    <m/>
    <m/>
    <m/>
    <m/>
    <m/>
    <m/>
    <m/>
    <m/>
    <m/>
    <m/>
    <m/>
    <m/>
    <m/>
    <m/>
    <m/>
  </r>
  <r>
    <x v="16"/>
    <x v="4"/>
    <m/>
    <m/>
    <n v="34.340000000000003"/>
    <m/>
    <m/>
    <m/>
    <m/>
    <m/>
    <m/>
    <m/>
    <m/>
    <m/>
    <m/>
    <m/>
    <m/>
    <m/>
    <m/>
    <m/>
    <m/>
    <m/>
    <m/>
    <m/>
    <m/>
  </r>
  <r>
    <x v="16"/>
    <x v="5"/>
    <m/>
    <m/>
    <n v="33.319999999999993"/>
    <m/>
    <m/>
    <m/>
    <m/>
    <m/>
    <m/>
    <m/>
    <m/>
    <m/>
    <m/>
    <m/>
    <m/>
    <m/>
    <m/>
    <m/>
    <m/>
    <m/>
    <m/>
    <m/>
    <m/>
  </r>
  <r>
    <x v="16"/>
    <x v="6"/>
    <m/>
    <m/>
    <n v="31.960000000000008"/>
    <m/>
    <m/>
    <m/>
    <m/>
    <m/>
    <m/>
    <m/>
    <m/>
    <m/>
    <m/>
    <m/>
    <m/>
    <m/>
    <m/>
    <m/>
    <m/>
    <m/>
    <m/>
    <m/>
    <m/>
  </r>
  <r>
    <x v="16"/>
    <x v="7"/>
    <m/>
    <m/>
    <n v="221.39045559893418"/>
    <m/>
    <m/>
    <m/>
    <m/>
    <m/>
    <m/>
    <m/>
    <m/>
    <m/>
    <m/>
    <m/>
    <m/>
    <m/>
    <m/>
    <m/>
    <m/>
    <m/>
    <m/>
    <m/>
    <m/>
  </r>
  <r>
    <x v="17"/>
    <x v="0"/>
    <m/>
    <m/>
    <n v="1.333333333333333"/>
    <m/>
    <m/>
    <m/>
    <m/>
    <m/>
    <m/>
    <m/>
    <m/>
    <m/>
    <m/>
    <m/>
    <m/>
    <m/>
    <m/>
    <m/>
    <m/>
    <m/>
    <m/>
    <m/>
    <m/>
  </r>
  <r>
    <x v="17"/>
    <x v="1"/>
    <m/>
    <m/>
    <n v="3.6333333333333329"/>
    <m/>
    <m/>
    <m/>
    <m/>
    <m/>
    <m/>
    <m/>
    <m/>
    <m/>
    <m/>
    <m/>
    <m/>
    <m/>
    <m/>
    <m/>
    <m/>
    <m/>
    <m/>
    <m/>
    <m/>
  </r>
  <r>
    <x v="17"/>
    <x v="2"/>
    <m/>
    <m/>
    <n v="3.5"/>
    <m/>
    <m/>
    <m/>
    <m/>
    <m/>
    <m/>
    <m/>
    <m/>
    <m/>
    <m/>
    <m/>
    <m/>
    <m/>
    <m/>
    <m/>
    <m/>
    <m/>
    <m/>
    <m/>
    <m/>
  </r>
  <r>
    <x v="17"/>
    <x v="3"/>
    <m/>
    <m/>
    <n v="3.4333333333333336"/>
    <m/>
    <m/>
    <m/>
    <m/>
    <m/>
    <m/>
    <m/>
    <m/>
    <m/>
    <m/>
    <m/>
    <m/>
    <m/>
    <m/>
    <m/>
    <m/>
    <m/>
    <m/>
    <m/>
    <m/>
  </r>
  <r>
    <x v="17"/>
    <x v="4"/>
    <m/>
    <m/>
    <n v="3.3666666666666671"/>
    <m/>
    <m/>
    <m/>
    <m/>
    <m/>
    <m/>
    <m/>
    <m/>
    <m/>
    <m/>
    <m/>
    <m/>
    <m/>
    <m/>
    <m/>
    <m/>
    <m/>
    <m/>
    <m/>
    <m/>
  </r>
  <r>
    <x v="17"/>
    <x v="5"/>
    <m/>
    <m/>
    <n v="3.2666666666666675"/>
    <m/>
    <m/>
    <m/>
    <m/>
    <m/>
    <m/>
    <m/>
    <m/>
    <m/>
    <m/>
    <m/>
    <m/>
    <m/>
    <m/>
    <m/>
    <m/>
    <m/>
    <m/>
    <m/>
    <m/>
  </r>
  <r>
    <x v="17"/>
    <x v="6"/>
    <m/>
    <m/>
    <n v="3.1333333333333329"/>
    <m/>
    <m/>
    <m/>
    <m/>
    <m/>
    <m/>
    <m/>
    <m/>
    <m/>
    <m/>
    <m/>
    <m/>
    <m/>
    <m/>
    <m/>
    <m/>
    <m/>
    <m/>
    <m/>
    <m/>
  </r>
  <r>
    <x v="17"/>
    <x v="7"/>
    <m/>
    <m/>
    <n v="22.035836526198182"/>
    <m/>
    <m/>
    <m/>
    <m/>
    <m/>
    <m/>
    <m/>
    <m/>
    <m/>
    <m/>
    <m/>
    <m/>
    <m/>
    <m/>
    <m/>
    <m/>
    <m/>
    <m/>
    <m/>
    <m/>
  </r>
  <r>
    <x v="18"/>
    <x v="0"/>
    <m/>
    <m/>
    <n v="0.93333333333333313"/>
    <m/>
    <m/>
    <m/>
    <m/>
    <m/>
    <m/>
    <m/>
    <m/>
    <m/>
    <m/>
    <m/>
    <m/>
    <m/>
    <m/>
    <m/>
    <m/>
    <m/>
    <m/>
    <m/>
    <m/>
  </r>
  <r>
    <x v="18"/>
    <x v="1"/>
    <m/>
    <m/>
    <n v="2.5433333333333339"/>
    <m/>
    <m/>
    <m/>
    <m/>
    <m/>
    <m/>
    <m/>
    <m/>
    <m/>
    <m/>
    <m/>
    <m/>
    <m/>
    <m/>
    <m/>
    <m/>
    <m/>
    <m/>
    <m/>
    <m/>
  </r>
  <r>
    <x v="18"/>
    <x v="2"/>
    <m/>
    <m/>
    <n v="2.4499999999999993"/>
    <m/>
    <m/>
    <m/>
    <m/>
    <m/>
    <m/>
    <m/>
    <m/>
    <m/>
    <m/>
    <m/>
    <m/>
    <m/>
    <m/>
    <m/>
    <m/>
    <m/>
    <m/>
    <m/>
    <m/>
  </r>
  <r>
    <x v="18"/>
    <x v="3"/>
    <m/>
    <m/>
    <n v="2.4033333333333333"/>
    <m/>
    <m/>
    <m/>
    <m/>
    <m/>
    <m/>
    <m/>
    <m/>
    <m/>
    <m/>
    <m/>
    <m/>
    <m/>
    <m/>
    <m/>
    <m/>
    <m/>
    <m/>
    <m/>
    <m/>
  </r>
  <r>
    <x v="18"/>
    <x v="4"/>
    <m/>
    <m/>
    <n v="2.3566666666666674"/>
    <m/>
    <m/>
    <m/>
    <m/>
    <m/>
    <m/>
    <m/>
    <m/>
    <m/>
    <m/>
    <m/>
    <m/>
    <m/>
    <m/>
    <m/>
    <m/>
    <m/>
    <m/>
    <m/>
    <m/>
  </r>
  <r>
    <x v="18"/>
    <x v="5"/>
    <m/>
    <m/>
    <n v="2.2866666666666662"/>
    <m/>
    <m/>
    <m/>
    <m/>
    <m/>
    <m/>
    <m/>
    <m/>
    <m/>
    <m/>
    <m/>
    <m/>
    <m/>
    <m/>
    <m/>
    <m/>
    <m/>
    <m/>
    <m/>
    <m/>
  </r>
  <r>
    <x v="18"/>
    <x v="6"/>
    <m/>
    <m/>
    <n v="2.1933333333333334"/>
    <m/>
    <m/>
    <m/>
    <m/>
    <m/>
    <m/>
    <m/>
    <m/>
    <m/>
    <m/>
    <m/>
    <m/>
    <m/>
    <m/>
    <m/>
    <m/>
    <m/>
    <m/>
    <m/>
    <m/>
  </r>
  <r>
    <x v="18"/>
    <x v="7"/>
    <m/>
    <m/>
    <n v="15.166666666666664"/>
    <m/>
    <m/>
    <m/>
    <m/>
    <m/>
    <m/>
    <m/>
    <m/>
    <m/>
    <m/>
    <m/>
    <m/>
    <m/>
    <m/>
    <m/>
    <m/>
    <m/>
    <m/>
    <m/>
    <m/>
  </r>
  <r>
    <x v="19"/>
    <x v="0"/>
    <m/>
    <m/>
    <n v="14.799999999999997"/>
    <m/>
    <m/>
    <m/>
    <m/>
    <m/>
    <m/>
    <m/>
    <m/>
    <m/>
    <m/>
    <m/>
    <m/>
    <m/>
    <m/>
    <m/>
    <m/>
    <m/>
    <m/>
    <m/>
    <m/>
  </r>
  <r>
    <x v="19"/>
    <x v="1"/>
    <m/>
    <m/>
    <n v="40.330000000000013"/>
    <m/>
    <m/>
    <m/>
    <m/>
    <m/>
    <m/>
    <m/>
    <m/>
    <m/>
    <m/>
    <m/>
    <m/>
    <m/>
    <m/>
    <m/>
    <m/>
    <m/>
    <m/>
    <m/>
    <m/>
  </r>
  <r>
    <x v="19"/>
    <x v="2"/>
    <m/>
    <m/>
    <n v="38.849999999999994"/>
    <m/>
    <m/>
    <m/>
    <m/>
    <m/>
    <m/>
    <m/>
    <m/>
    <m/>
    <m/>
    <m/>
    <m/>
    <m/>
    <m/>
    <m/>
    <m/>
    <m/>
    <m/>
    <m/>
    <m/>
  </r>
  <r>
    <x v="19"/>
    <x v="3"/>
    <m/>
    <m/>
    <n v="38.11"/>
    <m/>
    <m/>
    <m/>
    <m/>
    <m/>
    <m/>
    <m/>
    <m/>
    <m/>
    <m/>
    <m/>
    <m/>
    <m/>
    <m/>
    <m/>
    <m/>
    <m/>
    <m/>
    <m/>
    <m/>
  </r>
  <r>
    <x v="19"/>
    <x v="4"/>
    <m/>
    <m/>
    <n v="37.36999999999999"/>
    <m/>
    <m/>
    <m/>
    <m/>
    <m/>
    <m/>
    <m/>
    <m/>
    <m/>
    <m/>
    <m/>
    <m/>
    <m/>
    <m/>
    <m/>
    <m/>
    <m/>
    <m/>
    <m/>
    <m/>
  </r>
  <r>
    <x v="19"/>
    <x v="5"/>
    <m/>
    <m/>
    <n v="36.259999999999991"/>
    <m/>
    <m/>
    <m/>
    <m/>
    <m/>
    <m/>
    <m/>
    <m/>
    <m/>
    <m/>
    <m/>
    <m/>
    <m/>
    <m/>
    <m/>
    <m/>
    <m/>
    <m/>
    <m/>
    <m/>
  </r>
  <r>
    <x v="19"/>
    <x v="6"/>
    <m/>
    <m/>
    <n v="34.78"/>
    <m/>
    <m/>
    <m/>
    <m/>
    <m/>
    <m/>
    <m/>
    <m/>
    <m/>
    <m/>
    <m/>
    <m/>
    <m/>
    <m/>
    <m/>
    <m/>
    <m/>
    <m/>
    <m/>
    <m/>
  </r>
  <r>
    <x v="19"/>
    <x v="7"/>
    <m/>
    <m/>
    <n v="240.17240832435482"/>
    <m/>
    <m/>
    <m/>
    <m/>
    <m/>
    <m/>
    <m/>
    <m/>
    <m/>
    <m/>
    <m/>
    <m/>
    <m/>
    <m/>
    <m/>
    <m/>
    <m/>
    <m/>
    <m/>
    <m/>
  </r>
  <r>
    <x v="20"/>
    <x v="0"/>
    <m/>
    <m/>
    <n v="234.66666666666663"/>
    <m/>
    <m/>
    <m/>
    <m/>
    <m/>
    <m/>
    <m/>
    <m/>
    <m/>
    <m/>
    <m/>
    <m/>
    <m/>
    <m/>
    <m/>
    <m/>
    <m/>
    <m/>
    <m/>
    <m/>
  </r>
  <r>
    <x v="20"/>
    <x v="1"/>
    <m/>
    <m/>
    <n v="639.46666666666647"/>
    <m/>
    <m/>
    <m/>
    <m/>
    <m/>
    <m/>
    <m/>
    <m/>
    <m/>
    <m/>
    <m/>
    <m/>
    <m/>
    <m/>
    <m/>
    <m/>
    <m/>
    <m/>
    <m/>
    <m/>
  </r>
  <r>
    <x v="20"/>
    <x v="2"/>
    <m/>
    <m/>
    <n v="616"/>
    <m/>
    <m/>
    <m/>
    <m/>
    <m/>
    <m/>
    <m/>
    <m/>
    <m/>
    <m/>
    <m/>
    <m/>
    <m/>
    <m/>
    <m/>
    <m/>
    <m/>
    <m/>
    <m/>
    <m/>
  </r>
  <r>
    <x v="20"/>
    <x v="3"/>
    <m/>
    <m/>
    <n v="604.26666666666665"/>
    <m/>
    <m/>
    <m/>
    <m/>
    <m/>
    <m/>
    <m/>
    <m/>
    <m/>
    <m/>
    <m/>
    <m/>
    <m/>
    <m/>
    <m/>
    <m/>
    <m/>
    <m/>
    <m/>
    <m/>
  </r>
  <r>
    <x v="20"/>
    <x v="4"/>
    <m/>
    <m/>
    <n v="592.5333333333333"/>
    <m/>
    <m/>
    <m/>
    <m/>
    <m/>
    <m/>
    <m/>
    <m/>
    <m/>
    <m/>
    <m/>
    <m/>
    <m/>
    <m/>
    <m/>
    <m/>
    <m/>
    <m/>
    <m/>
    <m/>
  </r>
  <r>
    <x v="20"/>
    <x v="5"/>
    <m/>
    <m/>
    <n v="574.93333333333317"/>
    <m/>
    <m/>
    <m/>
    <m/>
    <m/>
    <m/>
    <m/>
    <m/>
    <m/>
    <m/>
    <m/>
    <m/>
    <m/>
    <m/>
    <m/>
    <m/>
    <m/>
    <m/>
    <m/>
    <m/>
  </r>
  <r>
    <x v="20"/>
    <x v="6"/>
    <m/>
    <m/>
    <n v="551.46666666666647"/>
    <m/>
    <m/>
    <m/>
    <m/>
    <m/>
    <m/>
    <m/>
    <m/>
    <m/>
    <m/>
    <m/>
    <m/>
    <m/>
    <m/>
    <m/>
    <m/>
    <m/>
    <m/>
    <m/>
    <m/>
  </r>
  <r>
    <x v="20"/>
    <x v="7"/>
    <m/>
    <m/>
    <n v="3813.0088152150092"/>
    <m/>
    <m/>
    <m/>
    <m/>
    <m/>
    <m/>
    <m/>
    <m/>
    <m/>
    <m/>
    <m/>
    <m/>
    <m/>
    <m/>
    <m/>
    <m/>
    <m/>
    <m/>
    <m/>
    <m/>
  </r>
  <r>
    <x v="21"/>
    <x v="0"/>
    <m/>
    <m/>
    <n v="25.066666666666663"/>
    <m/>
    <m/>
    <m/>
    <m/>
    <m/>
    <m/>
    <m/>
    <m/>
    <m/>
    <m/>
    <m/>
    <m/>
    <m/>
    <m/>
    <m/>
    <m/>
    <m/>
    <m/>
    <m/>
    <m/>
  </r>
  <r>
    <x v="21"/>
    <x v="1"/>
    <m/>
    <m/>
    <n v="68.306666666666672"/>
    <m/>
    <m/>
    <m/>
    <m/>
    <m/>
    <m/>
    <m/>
    <m/>
    <m/>
    <m/>
    <m/>
    <m/>
    <m/>
    <m/>
    <m/>
    <m/>
    <m/>
    <m/>
    <m/>
    <m/>
  </r>
  <r>
    <x v="21"/>
    <x v="2"/>
    <m/>
    <m/>
    <n v="65.799999999999983"/>
    <m/>
    <m/>
    <m/>
    <m/>
    <m/>
    <m/>
    <m/>
    <m/>
    <m/>
    <m/>
    <m/>
    <m/>
    <m/>
    <m/>
    <m/>
    <m/>
    <m/>
    <m/>
    <m/>
    <m/>
  </r>
  <r>
    <x v="21"/>
    <x v="3"/>
    <m/>
    <m/>
    <n v="64.546666666666653"/>
    <m/>
    <m/>
    <m/>
    <m/>
    <m/>
    <m/>
    <m/>
    <m/>
    <m/>
    <m/>
    <m/>
    <m/>
    <m/>
    <m/>
    <m/>
    <m/>
    <m/>
    <m/>
    <m/>
    <m/>
  </r>
  <r>
    <x v="21"/>
    <x v="4"/>
    <m/>
    <m/>
    <n v="63.293333333333322"/>
    <m/>
    <m/>
    <m/>
    <m/>
    <m/>
    <m/>
    <m/>
    <m/>
    <m/>
    <m/>
    <m/>
    <m/>
    <m/>
    <m/>
    <m/>
    <m/>
    <m/>
    <m/>
    <m/>
    <m/>
  </r>
  <r>
    <x v="21"/>
    <x v="5"/>
    <m/>
    <m/>
    <n v="61.413333333333327"/>
    <m/>
    <m/>
    <m/>
    <m/>
    <m/>
    <m/>
    <m/>
    <m/>
    <m/>
    <m/>
    <m/>
    <m/>
    <m/>
    <m/>
    <m/>
    <m/>
    <m/>
    <m/>
    <m/>
    <m/>
  </r>
  <r>
    <x v="21"/>
    <x v="6"/>
    <m/>
    <m/>
    <n v="58.906666666666666"/>
    <m/>
    <m/>
    <m/>
    <m/>
    <m/>
    <m/>
    <m/>
    <m/>
    <m/>
    <m/>
    <m/>
    <m/>
    <m/>
    <m/>
    <m/>
    <m/>
    <m/>
    <m/>
    <m/>
    <m/>
  </r>
  <r>
    <x v="21"/>
    <x v="7"/>
    <m/>
    <m/>
    <n v="407.71800577939007"/>
    <m/>
    <m/>
    <m/>
    <m/>
    <m/>
    <m/>
    <m/>
    <m/>
    <m/>
    <m/>
    <m/>
    <m/>
    <m/>
    <m/>
    <m/>
    <m/>
    <m/>
    <m/>
    <m/>
    <m/>
  </r>
  <r>
    <x v="22"/>
    <x v="0"/>
    <m/>
    <m/>
    <n v="123.33333333333331"/>
    <m/>
    <m/>
    <m/>
    <m/>
    <m/>
    <m/>
    <m/>
    <m/>
    <m/>
    <m/>
    <m/>
    <m/>
    <m/>
    <m/>
    <m/>
    <m/>
    <m/>
    <m/>
    <m/>
    <m/>
  </r>
  <r>
    <x v="22"/>
    <x v="1"/>
    <m/>
    <m/>
    <n v="336.08333333333326"/>
    <m/>
    <m/>
    <m/>
    <m/>
    <m/>
    <m/>
    <m/>
    <m/>
    <m/>
    <m/>
    <m/>
    <m/>
    <m/>
    <m/>
    <m/>
    <m/>
    <m/>
    <m/>
    <m/>
    <m/>
  </r>
  <r>
    <x v="22"/>
    <x v="2"/>
    <m/>
    <m/>
    <n v="323.75"/>
    <m/>
    <m/>
    <m/>
    <m/>
    <m/>
    <m/>
    <m/>
    <m/>
    <m/>
    <m/>
    <m/>
    <m/>
    <m/>
    <m/>
    <m/>
    <m/>
    <m/>
    <m/>
    <m/>
    <m/>
  </r>
  <r>
    <x v="22"/>
    <x v="3"/>
    <m/>
    <m/>
    <n v="317.58333333333326"/>
    <m/>
    <m/>
    <m/>
    <m/>
    <m/>
    <m/>
    <m/>
    <m/>
    <m/>
    <m/>
    <m/>
    <m/>
    <m/>
    <m/>
    <m/>
    <m/>
    <m/>
    <m/>
    <m/>
    <m/>
  </r>
  <r>
    <x v="22"/>
    <x v="4"/>
    <m/>
    <m/>
    <n v="311.41666666666674"/>
    <m/>
    <m/>
    <m/>
    <m/>
    <m/>
    <m/>
    <m/>
    <m/>
    <m/>
    <m/>
    <m/>
    <m/>
    <m/>
    <m/>
    <m/>
    <m/>
    <m/>
    <m/>
    <m/>
    <m/>
  </r>
  <r>
    <x v="22"/>
    <x v="5"/>
    <m/>
    <m/>
    <n v="302.16666666666674"/>
    <m/>
    <m/>
    <m/>
    <m/>
    <m/>
    <m/>
    <m/>
    <m/>
    <m/>
    <m/>
    <m/>
    <m/>
    <m/>
    <m/>
    <m/>
    <m/>
    <m/>
    <m/>
    <m/>
    <m/>
  </r>
  <r>
    <x v="22"/>
    <x v="6"/>
    <m/>
    <m/>
    <n v="289.83333333333326"/>
    <m/>
    <m/>
    <m/>
    <m/>
    <m/>
    <m/>
    <m/>
    <m/>
    <m/>
    <m/>
    <m/>
    <m/>
    <m/>
    <m/>
    <m/>
    <m/>
    <m/>
    <m/>
    <m/>
    <m/>
  </r>
  <r>
    <x v="22"/>
    <x v="7"/>
    <m/>
    <m/>
    <n v="2004.2257630993099"/>
    <m/>
    <m/>
    <m/>
    <m/>
    <m/>
    <m/>
    <m/>
    <m/>
    <m/>
    <m/>
    <m/>
    <m/>
    <m/>
    <m/>
    <m/>
    <m/>
    <m/>
    <m/>
    <m/>
    <m/>
  </r>
  <r>
    <x v="23"/>
    <x v="0"/>
    <m/>
    <m/>
    <n v="31.333333333333329"/>
    <m/>
    <m/>
    <m/>
    <m/>
    <m/>
    <m/>
    <m/>
    <m/>
    <m/>
    <m/>
    <m/>
    <m/>
    <m/>
    <m/>
    <m/>
    <m/>
    <m/>
    <m/>
    <m/>
    <m/>
  </r>
  <r>
    <x v="23"/>
    <x v="1"/>
    <m/>
    <m/>
    <n v="85.383333333333326"/>
    <m/>
    <m/>
    <m/>
    <m/>
    <m/>
    <m/>
    <m/>
    <m/>
    <m/>
    <m/>
    <m/>
    <m/>
    <m/>
    <m/>
    <m/>
    <m/>
    <m/>
    <m/>
    <m/>
    <m/>
  </r>
  <r>
    <x v="23"/>
    <x v="2"/>
    <m/>
    <m/>
    <n v="82.25"/>
    <m/>
    <m/>
    <m/>
    <m/>
    <m/>
    <m/>
    <m/>
    <m/>
    <m/>
    <m/>
    <m/>
    <m/>
    <m/>
    <m/>
    <m/>
    <m/>
    <m/>
    <m/>
    <m/>
    <m/>
  </r>
  <r>
    <x v="23"/>
    <x v="3"/>
    <m/>
    <m/>
    <n v="80.683333333333337"/>
    <m/>
    <m/>
    <m/>
    <m/>
    <m/>
    <m/>
    <m/>
    <m/>
    <m/>
    <m/>
    <m/>
    <m/>
    <m/>
    <m/>
    <m/>
    <m/>
    <m/>
    <m/>
    <m/>
    <m/>
  </r>
  <r>
    <x v="23"/>
    <x v="4"/>
    <m/>
    <m/>
    <n v="79.116666666666646"/>
    <m/>
    <m/>
    <m/>
    <m/>
    <m/>
    <m/>
    <m/>
    <m/>
    <m/>
    <m/>
    <m/>
    <m/>
    <m/>
    <m/>
    <m/>
    <m/>
    <m/>
    <m/>
    <m/>
    <m/>
  </r>
  <r>
    <x v="23"/>
    <x v="5"/>
    <m/>
    <m/>
    <n v="76.766666666666652"/>
    <m/>
    <m/>
    <m/>
    <m/>
    <m/>
    <m/>
    <m/>
    <m/>
    <m/>
    <m/>
    <m/>
    <m/>
    <m/>
    <m/>
    <m/>
    <m/>
    <m/>
    <m/>
    <m/>
    <m/>
  </r>
  <r>
    <x v="23"/>
    <x v="6"/>
    <m/>
    <m/>
    <n v="73.633333333333354"/>
    <m/>
    <m/>
    <m/>
    <m/>
    <m/>
    <m/>
    <m/>
    <m/>
    <m/>
    <m/>
    <m/>
    <m/>
    <m/>
    <m/>
    <m/>
    <m/>
    <m/>
    <m/>
    <m/>
    <m/>
  </r>
  <r>
    <x v="23"/>
    <x v="7"/>
    <m/>
    <m/>
    <n v="510.18435812371217"/>
    <m/>
    <m/>
    <m/>
    <m/>
    <m/>
    <m/>
    <m/>
    <m/>
    <m/>
    <m/>
    <m/>
    <m/>
    <m/>
    <m/>
    <m/>
    <m/>
    <m/>
    <m/>
    <m/>
    <m/>
  </r>
  <r>
    <x v="24"/>
    <x v="0"/>
    <m/>
    <m/>
    <n v="7.3333333333333321"/>
    <m/>
    <m/>
    <m/>
    <m/>
    <m/>
    <m/>
    <m/>
    <m/>
    <m/>
    <m/>
    <m/>
    <m/>
    <m/>
    <m/>
    <m/>
    <m/>
    <m/>
    <m/>
    <m/>
    <m/>
  </r>
  <r>
    <x v="24"/>
    <x v="1"/>
    <m/>
    <m/>
    <n v="19.983333333333327"/>
    <m/>
    <m/>
    <m/>
    <m/>
    <m/>
    <m/>
    <m/>
    <m/>
    <m/>
    <m/>
    <m/>
    <m/>
    <m/>
    <m/>
    <m/>
    <m/>
    <m/>
    <m/>
    <m/>
    <m/>
  </r>
  <r>
    <x v="24"/>
    <x v="2"/>
    <m/>
    <m/>
    <n v="19.25"/>
    <m/>
    <m/>
    <m/>
    <m/>
    <m/>
    <m/>
    <m/>
    <m/>
    <m/>
    <m/>
    <m/>
    <m/>
    <m/>
    <m/>
    <m/>
    <m/>
    <m/>
    <m/>
    <m/>
    <m/>
  </r>
  <r>
    <x v="24"/>
    <x v="3"/>
    <m/>
    <m/>
    <n v="18.883333333333333"/>
    <m/>
    <m/>
    <m/>
    <m/>
    <m/>
    <m/>
    <m/>
    <m/>
    <m/>
    <m/>
    <m/>
    <m/>
    <m/>
    <m/>
    <m/>
    <m/>
    <m/>
    <m/>
    <m/>
    <m/>
  </r>
  <r>
    <x v="24"/>
    <x v="4"/>
    <m/>
    <m/>
    <n v="18.516666666666666"/>
    <m/>
    <m/>
    <m/>
    <m/>
    <m/>
    <m/>
    <m/>
    <m/>
    <m/>
    <m/>
    <m/>
    <m/>
    <m/>
    <m/>
    <m/>
    <m/>
    <m/>
    <m/>
    <m/>
    <m/>
  </r>
  <r>
    <x v="24"/>
    <x v="5"/>
    <m/>
    <m/>
    <n v="17.966666666666661"/>
    <m/>
    <m/>
    <m/>
    <m/>
    <m/>
    <m/>
    <m/>
    <m/>
    <m/>
    <m/>
    <m/>
    <m/>
    <m/>
    <m/>
    <m/>
    <m/>
    <m/>
    <m/>
    <m/>
    <m/>
  </r>
  <r>
    <x v="24"/>
    <x v="6"/>
    <m/>
    <m/>
    <n v="17.233333333333327"/>
    <m/>
    <m/>
    <m/>
    <m/>
    <m/>
    <m/>
    <m/>
    <m/>
    <m/>
    <m/>
    <m/>
    <m/>
    <m/>
    <m/>
    <m/>
    <m/>
    <m/>
    <m/>
    <m/>
    <m/>
  </r>
  <r>
    <x v="24"/>
    <x v="7"/>
    <m/>
    <m/>
    <n v="119.24882917782764"/>
    <m/>
    <m/>
    <m/>
    <m/>
    <m/>
    <m/>
    <m/>
    <m/>
    <m/>
    <m/>
    <m/>
    <m/>
    <m/>
    <m/>
    <m/>
    <m/>
    <m/>
    <m/>
    <m/>
    <m/>
  </r>
  <r>
    <x v="25"/>
    <x v="0"/>
    <m/>
    <m/>
    <n v="140.26666666666671"/>
    <m/>
    <m/>
    <m/>
    <m/>
    <m/>
    <m/>
    <m/>
    <m/>
    <m/>
    <m/>
    <m/>
    <m/>
    <m/>
    <m/>
    <m/>
    <m/>
    <m/>
    <m/>
    <m/>
    <m/>
  </r>
  <r>
    <x v="25"/>
    <x v="1"/>
    <m/>
    <m/>
    <n v="382.22666666666669"/>
    <m/>
    <m/>
    <m/>
    <m/>
    <m/>
    <m/>
    <m/>
    <m/>
    <m/>
    <m/>
    <m/>
    <m/>
    <m/>
    <m/>
    <m/>
    <m/>
    <m/>
    <m/>
    <m/>
    <m/>
  </r>
  <r>
    <x v="25"/>
    <x v="2"/>
    <m/>
    <m/>
    <n v="368.20000000000005"/>
    <m/>
    <m/>
    <m/>
    <m/>
    <m/>
    <m/>
    <m/>
    <m/>
    <m/>
    <m/>
    <m/>
    <m/>
    <m/>
    <m/>
    <m/>
    <m/>
    <m/>
    <m/>
    <m/>
    <m/>
  </r>
  <r>
    <x v="25"/>
    <x v="3"/>
    <m/>
    <m/>
    <n v="361.18666666666672"/>
    <m/>
    <m/>
    <m/>
    <m/>
    <m/>
    <m/>
    <m/>
    <m/>
    <m/>
    <m/>
    <m/>
    <m/>
    <m/>
    <m/>
    <m/>
    <m/>
    <m/>
    <m/>
    <m/>
    <m/>
  </r>
  <r>
    <x v="25"/>
    <x v="4"/>
    <m/>
    <m/>
    <n v="354.1733333333334"/>
    <m/>
    <m/>
    <m/>
    <m/>
    <m/>
    <m/>
    <m/>
    <m/>
    <m/>
    <m/>
    <m/>
    <m/>
    <m/>
    <m/>
    <m/>
    <m/>
    <m/>
    <m/>
    <m/>
    <m/>
  </r>
  <r>
    <x v="25"/>
    <x v="5"/>
    <m/>
    <m/>
    <n v="343.65333333333342"/>
    <m/>
    <m/>
    <m/>
    <m/>
    <m/>
    <m/>
    <m/>
    <m/>
    <m/>
    <m/>
    <m/>
    <m/>
    <m/>
    <m/>
    <m/>
    <m/>
    <m/>
    <m/>
    <m/>
    <m/>
  </r>
  <r>
    <x v="25"/>
    <x v="6"/>
    <m/>
    <m/>
    <n v="329.62666666666667"/>
    <m/>
    <m/>
    <m/>
    <m/>
    <m/>
    <m/>
    <m/>
    <m/>
    <m/>
    <m/>
    <m/>
    <m/>
    <m/>
    <m/>
    <m/>
    <m/>
    <m/>
    <m/>
    <m/>
    <m/>
  </r>
  <r>
    <x v="25"/>
    <x v="7"/>
    <m/>
    <m/>
    <n v="2279.2615435396601"/>
    <m/>
    <m/>
    <m/>
    <m/>
    <m/>
    <m/>
    <m/>
    <m/>
    <m/>
    <m/>
    <m/>
    <m/>
    <m/>
    <m/>
    <m/>
    <m/>
    <m/>
    <m/>
    <m/>
    <m/>
  </r>
  <r>
    <x v="26"/>
    <x v="0"/>
    <m/>
    <m/>
    <n v="8.2666666666666693"/>
    <m/>
    <m/>
    <m/>
    <m/>
    <m/>
    <m/>
    <m/>
    <m/>
    <m/>
    <m/>
    <m/>
    <m/>
    <m/>
    <m/>
    <m/>
    <m/>
    <m/>
    <m/>
    <m/>
    <m/>
  </r>
  <r>
    <x v="26"/>
    <x v="1"/>
    <m/>
    <m/>
    <n v="22.526666666666671"/>
    <m/>
    <m/>
    <m/>
    <m/>
    <m/>
    <m/>
    <m/>
    <m/>
    <m/>
    <m/>
    <m/>
    <m/>
    <m/>
    <m/>
    <m/>
    <m/>
    <m/>
    <m/>
    <m/>
    <m/>
  </r>
  <r>
    <x v="26"/>
    <x v="2"/>
    <m/>
    <m/>
    <n v="21.700000000000003"/>
    <m/>
    <m/>
    <m/>
    <m/>
    <m/>
    <m/>
    <m/>
    <m/>
    <m/>
    <m/>
    <m/>
    <m/>
    <m/>
    <m/>
    <m/>
    <m/>
    <m/>
    <m/>
    <m/>
    <m/>
  </r>
  <r>
    <x v="26"/>
    <x v="3"/>
    <m/>
    <m/>
    <n v="21.286666666666662"/>
    <m/>
    <m/>
    <m/>
    <m/>
    <m/>
    <m/>
    <m/>
    <m/>
    <m/>
    <m/>
    <m/>
    <m/>
    <m/>
    <m/>
    <m/>
    <m/>
    <m/>
    <m/>
    <m/>
    <m/>
  </r>
  <r>
    <x v="26"/>
    <x v="4"/>
    <m/>
    <m/>
    <n v="20.873333333333328"/>
    <m/>
    <m/>
    <m/>
    <m/>
    <m/>
    <m/>
    <m/>
    <m/>
    <m/>
    <m/>
    <m/>
    <m/>
    <m/>
    <m/>
    <m/>
    <m/>
    <m/>
    <m/>
    <m/>
    <m/>
  </r>
  <r>
    <x v="26"/>
    <x v="5"/>
    <m/>
    <m/>
    <n v="20.253333333333337"/>
    <m/>
    <m/>
    <m/>
    <m/>
    <m/>
    <m/>
    <m/>
    <m/>
    <m/>
    <m/>
    <m/>
    <m/>
    <m/>
    <m/>
    <m/>
    <m/>
    <m/>
    <m/>
    <m/>
    <m/>
  </r>
  <r>
    <x v="26"/>
    <x v="6"/>
    <m/>
    <m/>
    <n v="19.426666666666662"/>
    <m/>
    <m/>
    <m/>
    <m/>
    <m/>
    <m/>
    <m/>
    <m/>
    <m/>
    <m/>
    <m/>
    <m/>
    <m/>
    <m/>
    <m/>
    <m/>
    <m/>
    <m/>
    <m/>
    <m/>
  </r>
  <r>
    <x v="26"/>
    <x v="7"/>
    <m/>
    <m/>
    <n v="133.47207701346179"/>
    <m/>
    <m/>
    <m/>
    <m/>
    <m/>
    <m/>
    <m/>
    <m/>
    <m/>
    <m/>
    <m/>
    <m/>
    <m/>
    <m/>
    <m/>
    <m/>
    <m/>
    <m/>
    <m/>
    <m/>
  </r>
  <r>
    <x v="27"/>
    <x v="0"/>
    <m/>
    <m/>
    <n v="1337.8666666666663"/>
    <m/>
    <m/>
    <m/>
    <m/>
    <m/>
    <m/>
    <m/>
    <m/>
    <m/>
    <m/>
    <m/>
    <m/>
    <m/>
    <m/>
    <m/>
    <m/>
    <m/>
    <m/>
    <m/>
    <m/>
  </r>
  <r>
    <x v="27"/>
    <x v="1"/>
    <m/>
    <m/>
    <n v="3645.6866666666665"/>
    <m/>
    <m/>
    <m/>
    <m/>
    <m/>
    <m/>
    <m/>
    <m/>
    <m/>
    <m/>
    <m/>
    <m/>
    <m/>
    <m/>
    <m/>
    <m/>
    <m/>
    <m/>
    <m/>
    <m/>
  </r>
  <r>
    <x v="27"/>
    <x v="2"/>
    <m/>
    <m/>
    <n v="3511.8999999999996"/>
    <m/>
    <m/>
    <m/>
    <m/>
    <m/>
    <m/>
    <m/>
    <m/>
    <m/>
    <m/>
    <m/>
    <m/>
    <m/>
    <m/>
    <m/>
    <m/>
    <m/>
    <m/>
    <m/>
    <m/>
  </r>
  <r>
    <x v="27"/>
    <x v="3"/>
    <m/>
    <m/>
    <n v="3445.0066666666671"/>
    <m/>
    <m/>
    <m/>
    <m/>
    <m/>
    <m/>
    <m/>
    <m/>
    <m/>
    <m/>
    <m/>
    <m/>
    <m/>
    <m/>
    <m/>
    <m/>
    <m/>
    <m/>
    <m/>
    <m/>
  </r>
  <r>
    <x v="27"/>
    <x v="4"/>
    <m/>
    <m/>
    <n v="3378.1133333333341"/>
    <m/>
    <m/>
    <m/>
    <m/>
    <m/>
    <m/>
    <m/>
    <m/>
    <m/>
    <m/>
    <m/>
    <m/>
    <m/>
    <m/>
    <m/>
    <m/>
    <m/>
    <m/>
    <m/>
    <m/>
  </r>
  <r>
    <x v="27"/>
    <x v="5"/>
    <m/>
    <m/>
    <n v="3277.7733333333331"/>
    <m/>
    <m/>
    <m/>
    <m/>
    <m/>
    <m/>
    <m/>
    <m/>
    <m/>
    <m/>
    <m/>
    <m/>
    <m/>
    <m/>
    <m/>
    <m/>
    <m/>
    <m/>
    <m/>
    <m/>
  </r>
  <r>
    <x v="27"/>
    <x v="6"/>
    <m/>
    <m/>
    <n v="3143.9866666666653"/>
    <m/>
    <m/>
    <m/>
    <m/>
    <m/>
    <m/>
    <m/>
    <m/>
    <m/>
    <m/>
    <m/>
    <m/>
    <m/>
    <m/>
    <m/>
    <m/>
    <m/>
    <m/>
    <m/>
    <m/>
  </r>
  <r>
    <x v="27"/>
    <x v="7"/>
    <m/>
    <m/>
    <n v="21666.666666666661"/>
    <m/>
    <m/>
    <m/>
    <m/>
    <m/>
    <m/>
    <m/>
    <m/>
    <m/>
    <m/>
    <m/>
    <m/>
    <m/>
    <m/>
    <m/>
    <m/>
    <m/>
    <m/>
    <m/>
    <m/>
  </r>
  <r>
    <x v="0"/>
    <x v="0"/>
    <m/>
    <m/>
    <m/>
    <n v="47.466666666666669"/>
    <m/>
    <m/>
    <m/>
    <m/>
    <m/>
    <m/>
    <m/>
    <m/>
    <m/>
    <m/>
    <m/>
    <m/>
    <m/>
    <m/>
    <m/>
    <m/>
    <m/>
    <m/>
    <m/>
  </r>
  <r>
    <x v="0"/>
    <x v="1"/>
    <m/>
    <m/>
    <m/>
    <n v="129.34666666666666"/>
    <m/>
    <m/>
    <m/>
    <m/>
    <m/>
    <m/>
    <m/>
    <m/>
    <m/>
    <m/>
    <m/>
    <m/>
    <m/>
    <m/>
    <m/>
    <m/>
    <m/>
    <m/>
    <m/>
  </r>
  <r>
    <x v="0"/>
    <x v="2"/>
    <m/>
    <m/>
    <m/>
    <n v="124.60000000000001"/>
    <m/>
    <m/>
    <m/>
    <m/>
    <m/>
    <m/>
    <m/>
    <m/>
    <m/>
    <m/>
    <m/>
    <m/>
    <m/>
    <m/>
    <m/>
    <m/>
    <m/>
    <m/>
    <m/>
  </r>
  <r>
    <x v="0"/>
    <x v="3"/>
    <m/>
    <m/>
    <m/>
    <n v="122.22666666666667"/>
    <m/>
    <m/>
    <m/>
    <m/>
    <m/>
    <m/>
    <m/>
    <m/>
    <m/>
    <m/>
    <m/>
    <m/>
    <m/>
    <m/>
    <m/>
    <m/>
    <m/>
    <m/>
    <m/>
  </r>
  <r>
    <x v="0"/>
    <x v="4"/>
    <m/>
    <m/>
    <m/>
    <n v="119.85333333333334"/>
    <m/>
    <m/>
    <m/>
    <m/>
    <m/>
    <m/>
    <m/>
    <m/>
    <m/>
    <m/>
    <m/>
    <m/>
    <m/>
    <m/>
    <m/>
    <m/>
    <m/>
    <m/>
    <m/>
  </r>
  <r>
    <x v="0"/>
    <x v="5"/>
    <m/>
    <m/>
    <m/>
    <n v="116.29333333333334"/>
    <m/>
    <m/>
    <m/>
    <m/>
    <m/>
    <m/>
    <m/>
    <m/>
    <m/>
    <m/>
    <m/>
    <m/>
    <m/>
    <m/>
    <m/>
    <m/>
    <m/>
    <m/>
    <m/>
  </r>
  <r>
    <x v="0"/>
    <x v="6"/>
    <m/>
    <m/>
    <m/>
    <n v="111.54666666666667"/>
    <m/>
    <m/>
    <m/>
    <m/>
    <m/>
    <m/>
    <m/>
    <m/>
    <m/>
    <m/>
    <m/>
    <m/>
    <m/>
    <m/>
    <m/>
    <m/>
    <m/>
    <m/>
    <m/>
  </r>
  <r>
    <x v="0"/>
    <x v="7"/>
    <m/>
    <m/>
    <m/>
    <n v="771.97233768972671"/>
    <m/>
    <m/>
    <m/>
    <m/>
    <m/>
    <m/>
    <m/>
    <m/>
    <m/>
    <m/>
    <m/>
    <m/>
    <m/>
    <m/>
    <m/>
    <m/>
    <m/>
    <m/>
    <m/>
  </r>
  <r>
    <x v="0"/>
    <x v="8"/>
    <m/>
    <m/>
    <m/>
    <n v="0"/>
    <m/>
    <m/>
    <m/>
    <m/>
    <m/>
    <m/>
    <m/>
    <m/>
    <m/>
    <m/>
    <m/>
    <m/>
    <m/>
    <m/>
    <m/>
    <m/>
    <m/>
    <m/>
    <m/>
  </r>
  <r>
    <x v="1"/>
    <x v="0"/>
    <m/>
    <m/>
    <m/>
    <n v="136"/>
    <m/>
    <m/>
    <m/>
    <m/>
    <m/>
    <m/>
    <m/>
    <m/>
    <m/>
    <m/>
    <m/>
    <m/>
    <m/>
    <m/>
    <m/>
    <m/>
    <m/>
    <m/>
    <m/>
  </r>
  <r>
    <x v="1"/>
    <x v="1"/>
    <m/>
    <m/>
    <m/>
    <n v="370.59999999999997"/>
    <m/>
    <m/>
    <m/>
    <m/>
    <m/>
    <m/>
    <m/>
    <m/>
    <m/>
    <m/>
    <m/>
    <m/>
    <m/>
    <m/>
    <m/>
    <m/>
    <m/>
    <m/>
    <m/>
  </r>
  <r>
    <x v="1"/>
    <x v="2"/>
    <m/>
    <m/>
    <m/>
    <n v="357"/>
    <m/>
    <m/>
    <m/>
    <m/>
    <m/>
    <m/>
    <m/>
    <m/>
    <m/>
    <m/>
    <m/>
    <m/>
    <m/>
    <m/>
    <m/>
    <m/>
    <m/>
    <m/>
    <m/>
  </r>
  <r>
    <x v="1"/>
    <x v="3"/>
    <m/>
    <m/>
    <m/>
    <n v="350.2"/>
    <m/>
    <m/>
    <m/>
    <m/>
    <m/>
    <m/>
    <m/>
    <m/>
    <m/>
    <m/>
    <m/>
    <m/>
    <m/>
    <m/>
    <m/>
    <m/>
    <m/>
    <m/>
    <m/>
  </r>
  <r>
    <x v="1"/>
    <x v="4"/>
    <m/>
    <m/>
    <m/>
    <n v="343.40000000000003"/>
    <m/>
    <m/>
    <m/>
    <m/>
    <m/>
    <m/>
    <m/>
    <m/>
    <m/>
    <m/>
    <m/>
    <m/>
    <m/>
    <m/>
    <m/>
    <m/>
    <m/>
    <m/>
    <m/>
  </r>
  <r>
    <x v="1"/>
    <x v="5"/>
    <m/>
    <m/>
    <m/>
    <n v="333.2"/>
    <m/>
    <m/>
    <m/>
    <m/>
    <m/>
    <m/>
    <m/>
    <m/>
    <m/>
    <m/>
    <m/>
    <m/>
    <m/>
    <m/>
    <m/>
    <m/>
    <m/>
    <m/>
    <m/>
  </r>
  <r>
    <x v="1"/>
    <x v="6"/>
    <m/>
    <m/>
    <m/>
    <n v="319.59999999999997"/>
    <m/>
    <m/>
    <m/>
    <m/>
    <m/>
    <m/>
    <m/>
    <m/>
    <m/>
    <m/>
    <m/>
    <m/>
    <m/>
    <m/>
    <m/>
    <m/>
    <m/>
    <m/>
    <m/>
  </r>
  <r>
    <x v="1"/>
    <x v="7"/>
    <m/>
    <m/>
    <m/>
    <n v="2212.9731684524363"/>
    <m/>
    <m/>
    <m/>
    <m/>
    <m/>
    <m/>
    <m/>
    <m/>
    <m/>
    <m/>
    <m/>
    <m/>
    <m/>
    <m/>
    <m/>
    <m/>
    <m/>
    <m/>
    <m/>
  </r>
  <r>
    <x v="1"/>
    <x v="8"/>
    <m/>
    <m/>
    <m/>
    <n v="0"/>
    <m/>
    <m/>
    <m/>
    <m/>
    <m/>
    <m/>
    <m/>
    <m/>
    <m/>
    <m/>
    <m/>
    <m/>
    <m/>
    <m/>
    <m/>
    <m/>
    <m/>
    <m/>
    <m/>
  </r>
  <r>
    <x v="2"/>
    <x v="0"/>
    <m/>
    <m/>
    <m/>
    <n v="205.33333333333334"/>
    <m/>
    <m/>
    <m/>
    <m/>
    <m/>
    <m/>
    <m/>
    <m/>
    <m/>
    <m/>
    <m/>
    <m/>
    <m/>
    <m/>
    <m/>
    <m/>
    <m/>
    <m/>
    <m/>
  </r>
  <r>
    <x v="2"/>
    <x v="1"/>
    <m/>
    <m/>
    <m/>
    <n v="559.5333333333333"/>
    <m/>
    <m/>
    <m/>
    <m/>
    <m/>
    <m/>
    <m/>
    <m/>
    <m/>
    <m/>
    <m/>
    <m/>
    <m/>
    <m/>
    <m/>
    <m/>
    <m/>
    <m/>
    <m/>
  </r>
  <r>
    <x v="2"/>
    <x v="2"/>
    <m/>
    <m/>
    <m/>
    <n v="539"/>
    <m/>
    <m/>
    <m/>
    <m/>
    <m/>
    <m/>
    <m/>
    <m/>
    <m/>
    <m/>
    <m/>
    <m/>
    <m/>
    <m/>
    <m/>
    <m/>
    <m/>
    <m/>
    <m/>
  </r>
  <r>
    <x v="2"/>
    <x v="3"/>
    <m/>
    <m/>
    <m/>
    <n v="528.73333333333335"/>
    <m/>
    <m/>
    <m/>
    <m/>
    <m/>
    <m/>
    <m/>
    <m/>
    <m/>
    <m/>
    <m/>
    <m/>
    <m/>
    <m/>
    <m/>
    <m/>
    <m/>
    <m/>
    <m/>
  </r>
  <r>
    <x v="2"/>
    <x v="4"/>
    <m/>
    <m/>
    <m/>
    <n v="518.4666666666667"/>
    <m/>
    <m/>
    <m/>
    <m/>
    <m/>
    <m/>
    <m/>
    <m/>
    <m/>
    <m/>
    <m/>
    <m/>
    <m/>
    <m/>
    <m/>
    <m/>
    <m/>
    <m/>
    <m/>
  </r>
  <r>
    <x v="2"/>
    <x v="5"/>
    <m/>
    <m/>
    <m/>
    <n v="503.06666666666666"/>
    <m/>
    <m/>
    <m/>
    <m/>
    <m/>
    <m/>
    <m/>
    <m/>
    <m/>
    <m/>
    <m/>
    <m/>
    <m/>
    <m/>
    <m/>
    <m/>
    <m/>
    <m/>
    <m/>
  </r>
  <r>
    <x v="2"/>
    <x v="6"/>
    <m/>
    <m/>
    <m/>
    <n v="482.5333333333333"/>
    <m/>
    <m/>
    <m/>
    <m/>
    <m/>
    <m/>
    <m/>
    <m/>
    <m/>
    <m/>
    <m/>
    <m/>
    <m/>
    <m/>
    <m/>
    <m/>
    <m/>
    <m/>
    <m/>
  </r>
  <r>
    <x v="2"/>
    <x v="7"/>
    <m/>
    <m/>
    <m/>
    <n v="3332.6537070774662"/>
    <m/>
    <m/>
    <m/>
    <m/>
    <m/>
    <m/>
    <m/>
    <m/>
    <m/>
    <m/>
    <m/>
    <m/>
    <m/>
    <m/>
    <m/>
    <m/>
    <m/>
    <m/>
    <m/>
  </r>
  <r>
    <x v="2"/>
    <x v="8"/>
    <m/>
    <m/>
    <m/>
    <n v="0"/>
    <m/>
    <m/>
    <m/>
    <m/>
    <m/>
    <m/>
    <m/>
    <m/>
    <m/>
    <m/>
    <m/>
    <m/>
    <m/>
    <m/>
    <m/>
    <m/>
    <m/>
    <m/>
    <m/>
  </r>
  <r>
    <x v="3"/>
    <x v="0"/>
    <m/>
    <m/>
    <m/>
    <n v="103.46666666666668"/>
    <m/>
    <m/>
    <m/>
    <m/>
    <m/>
    <m/>
    <m/>
    <m/>
    <m/>
    <m/>
    <m/>
    <m/>
    <m/>
    <m/>
    <m/>
    <m/>
    <m/>
    <m/>
    <m/>
  </r>
  <r>
    <x v="3"/>
    <x v="1"/>
    <m/>
    <m/>
    <m/>
    <n v="281.94666666666666"/>
    <m/>
    <m/>
    <m/>
    <m/>
    <m/>
    <m/>
    <m/>
    <m/>
    <m/>
    <m/>
    <m/>
    <m/>
    <m/>
    <m/>
    <m/>
    <m/>
    <m/>
    <m/>
    <m/>
  </r>
  <r>
    <x v="3"/>
    <x v="2"/>
    <m/>
    <m/>
    <m/>
    <n v="271.60000000000002"/>
    <m/>
    <m/>
    <m/>
    <m/>
    <m/>
    <m/>
    <m/>
    <m/>
    <m/>
    <m/>
    <m/>
    <m/>
    <m/>
    <m/>
    <m/>
    <m/>
    <m/>
    <m/>
    <m/>
  </r>
  <r>
    <x v="3"/>
    <x v="3"/>
    <m/>
    <m/>
    <m/>
    <n v="266.42666666666668"/>
    <m/>
    <m/>
    <m/>
    <m/>
    <m/>
    <m/>
    <m/>
    <m/>
    <m/>
    <m/>
    <m/>
    <m/>
    <m/>
    <m/>
    <m/>
    <m/>
    <m/>
    <m/>
    <m/>
  </r>
  <r>
    <x v="3"/>
    <x v="4"/>
    <m/>
    <m/>
    <m/>
    <n v="261.25333333333333"/>
    <m/>
    <m/>
    <m/>
    <m/>
    <m/>
    <m/>
    <m/>
    <m/>
    <m/>
    <m/>
    <m/>
    <m/>
    <m/>
    <m/>
    <m/>
    <m/>
    <m/>
    <m/>
    <m/>
  </r>
  <r>
    <x v="3"/>
    <x v="5"/>
    <m/>
    <m/>
    <m/>
    <n v="253.49333333333334"/>
    <m/>
    <m/>
    <m/>
    <m/>
    <m/>
    <m/>
    <m/>
    <m/>
    <m/>
    <m/>
    <m/>
    <m/>
    <m/>
    <m/>
    <m/>
    <m/>
    <m/>
    <m/>
    <m/>
  </r>
  <r>
    <x v="3"/>
    <x v="6"/>
    <m/>
    <m/>
    <m/>
    <n v="243.14666666666668"/>
    <m/>
    <m/>
    <m/>
    <m/>
    <m/>
    <m/>
    <m/>
    <m/>
    <m/>
    <m/>
    <m/>
    <m/>
    <m/>
    <m/>
    <m/>
    <m/>
    <m/>
    <m/>
    <m/>
  </r>
  <r>
    <x v="3"/>
    <x v="7"/>
    <m/>
    <m/>
    <m/>
    <n v="1684.0958653660925"/>
    <m/>
    <m/>
    <m/>
    <m/>
    <m/>
    <m/>
    <m/>
    <m/>
    <m/>
    <m/>
    <m/>
    <m/>
    <m/>
    <m/>
    <m/>
    <m/>
    <m/>
    <m/>
    <m/>
  </r>
  <r>
    <x v="3"/>
    <x v="8"/>
    <m/>
    <m/>
    <m/>
    <n v="0"/>
    <m/>
    <m/>
    <m/>
    <m/>
    <m/>
    <m/>
    <m/>
    <m/>
    <m/>
    <m/>
    <m/>
    <m/>
    <m/>
    <m/>
    <m/>
    <m/>
    <m/>
    <m/>
    <m/>
  </r>
  <r>
    <x v="4"/>
    <x v="0"/>
    <m/>
    <m/>
    <m/>
    <n v="10.666666666666666"/>
    <m/>
    <m/>
    <m/>
    <m/>
    <m/>
    <m/>
    <m/>
    <m/>
    <m/>
    <m/>
    <m/>
    <m/>
    <m/>
    <m/>
    <m/>
    <m/>
    <m/>
    <m/>
    <m/>
  </r>
  <r>
    <x v="4"/>
    <x v="1"/>
    <m/>
    <m/>
    <m/>
    <n v="29.066666666666666"/>
    <m/>
    <m/>
    <m/>
    <m/>
    <m/>
    <m/>
    <m/>
    <m/>
    <m/>
    <m/>
    <m/>
    <m/>
    <m/>
    <m/>
    <m/>
    <m/>
    <m/>
    <m/>
    <m/>
  </r>
  <r>
    <x v="4"/>
    <x v="2"/>
    <m/>
    <m/>
    <m/>
    <n v="28"/>
    <m/>
    <m/>
    <m/>
    <m/>
    <m/>
    <m/>
    <m/>
    <m/>
    <m/>
    <m/>
    <m/>
    <m/>
    <m/>
    <m/>
    <m/>
    <m/>
    <m/>
    <m/>
    <m/>
  </r>
  <r>
    <x v="4"/>
    <x v="3"/>
    <m/>
    <m/>
    <m/>
    <n v="27.466666666666669"/>
    <m/>
    <m/>
    <m/>
    <m/>
    <m/>
    <m/>
    <m/>
    <m/>
    <m/>
    <m/>
    <m/>
    <m/>
    <m/>
    <m/>
    <m/>
    <m/>
    <m/>
    <m/>
    <m/>
  </r>
  <r>
    <x v="4"/>
    <x v="4"/>
    <m/>
    <m/>
    <m/>
    <n v="26.933333333333334"/>
    <m/>
    <m/>
    <m/>
    <m/>
    <m/>
    <m/>
    <m/>
    <m/>
    <m/>
    <m/>
    <m/>
    <m/>
    <m/>
    <m/>
    <m/>
    <m/>
    <m/>
    <m/>
    <m/>
  </r>
  <r>
    <x v="4"/>
    <x v="5"/>
    <m/>
    <m/>
    <m/>
    <n v="26.133333333333336"/>
    <m/>
    <m/>
    <m/>
    <m/>
    <m/>
    <m/>
    <m/>
    <m/>
    <m/>
    <m/>
    <m/>
    <m/>
    <m/>
    <m/>
    <m/>
    <m/>
    <m/>
    <m/>
    <m/>
  </r>
  <r>
    <x v="4"/>
    <x v="6"/>
    <m/>
    <m/>
    <m/>
    <n v="25.066666666666666"/>
    <m/>
    <m/>
    <m/>
    <m/>
    <m/>
    <m/>
    <m/>
    <m/>
    <m/>
    <m/>
    <m/>
    <m/>
    <m/>
    <m/>
    <m/>
    <m/>
    <m/>
    <m/>
    <m/>
  </r>
  <r>
    <x v="4"/>
    <x v="7"/>
    <m/>
    <m/>
    <m/>
    <n v="174.83054310860223"/>
    <m/>
    <m/>
    <m/>
    <m/>
    <m/>
    <m/>
    <m/>
    <m/>
    <m/>
    <m/>
    <m/>
    <m/>
    <m/>
    <m/>
    <m/>
    <m/>
    <m/>
    <m/>
    <m/>
  </r>
  <r>
    <x v="4"/>
    <x v="8"/>
    <m/>
    <m/>
    <m/>
    <n v="0"/>
    <m/>
    <m/>
    <m/>
    <m/>
    <m/>
    <m/>
    <m/>
    <m/>
    <m/>
    <m/>
    <m/>
    <m/>
    <m/>
    <m/>
    <m/>
    <m/>
    <m/>
    <m/>
    <m/>
  </r>
  <r>
    <x v="5"/>
    <x v="0"/>
    <m/>
    <m/>
    <m/>
    <n v="128"/>
    <m/>
    <m/>
    <m/>
    <m/>
    <m/>
    <m/>
    <m/>
    <m/>
    <m/>
    <m/>
    <m/>
    <m/>
    <m/>
    <m/>
    <m/>
    <m/>
    <m/>
    <m/>
    <m/>
  </r>
  <r>
    <x v="5"/>
    <x v="1"/>
    <m/>
    <m/>
    <m/>
    <n v="348.8"/>
    <m/>
    <m/>
    <m/>
    <m/>
    <m/>
    <m/>
    <m/>
    <m/>
    <m/>
    <m/>
    <m/>
    <m/>
    <m/>
    <m/>
    <m/>
    <m/>
    <m/>
    <m/>
    <m/>
  </r>
  <r>
    <x v="5"/>
    <x v="2"/>
    <m/>
    <m/>
    <m/>
    <n v="336"/>
    <m/>
    <m/>
    <m/>
    <m/>
    <m/>
    <m/>
    <m/>
    <m/>
    <m/>
    <m/>
    <m/>
    <m/>
    <m/>
    <m/>
    <m/>
    <m/>
    <m/>
    <m/>
    <m/>
  </r>
  <r>
    <x v="5"/>
    <x v="3"/>
    <m/>
    <m/>
    <m/>
    <n v="329.6"/>
    <m/>
    <m/>
    <m/>
    <m/>
    <m/>
    <m/>
    <m/>
    <m/>
    <m/>
    <m/>
    <m/>
    <m/>
    <m/>
    <m/>
    <m/>
    <m/>
    <m/>
    <m/>
    <m/>
  </r>
  <r>
    <x v="5"/>
    <x v="4"/>
    <m/>
    <m/>
    <m/>
    <n v="323.2"/>
    <m/>
    <m/>
    <m/>
    <m/>
    <m/>
    <m/>
    <m/>
    <m/>
    <m/>
    <m/>
    <m/>
    <m/>
    <m/>
    <m/>
    <m/>
    <m/>
    <m/>
    <m/>
    <m/>
  </r>
  <r>
    <x v="5"/>
    <x v="5"/>
    <m/>
    <m/>
    <m/>
    <n v="313.60000000000002"/>
    <m/>
    <m/>
    <m/>
    <m/>
    <m/>
    <m/>
    <m/>
    <m/>
    <m/>
    <m/>
    <m/>
    <m/>
    <m/>
    <m/>
    <m/>
    <m/>
    <m/>
    <m/>
    <m/>
  </r>
  <r>
    <x v="5"/>
    <x v="6"/>
    <m/>
    <m/>
    <m/>
    <n v="300.8"/>
    <m/>
    <m/>
    <m/>
    <m/>
    <m/>
    <m/>
    <m/>
    <m/>
    <m/>
    <m/>
    <m/>
    <m/>
    <m/>
    <m/>
    <m/>
    <m/>
    <m/>
    <m/>
    <m/>
  </r>
  <r>
    <x v="5"/>
    <x v="7"/>
    <m/>
    <m/>
    <m/>
    <n v="2082.1792978572462"/>
    <m/>
    <m/>
    <m/>
    <m/>
    <m/>
    <m/>
    <m/>
    <m/>
    <m/>
    <m/>
    <m/>
    <m/>
    <m/>
    <m/>
    <m/>
    <m/>
    <m/>
    <m/>
    <m/>
  </r>
  <r>
    <x v="5"/>
    <x v="8"/>
    <m/>
    <m/>
    <m/>
    <n v="0"/>
    <m/>
    <m/>
    <m/>
    <m/>
    <m/>
    <m/>
    <m/>
    <m/>
    <m/>
    <m/>
    <m/>
    <m/>
    <m/>
    <m/>
    <m/>
    <m/>
    <m/>
    <m/>
    <m/>
  </r>
  <r>
    <x v="6"/>
    <x v="0"/>
    <m/>
    <m/>
    <m/>
    <n v="26.666666666666668"/>
    <m/>
    <m/>
    <m/>
    <m/>
    <m/>
    <m/>
    <m/>
    <m/>
    <m/>
    <m/>
    <m/>
    <m/>
    <m/>
    <m/>
    <m/>
    <m/>
    <m/>
    <m/>
    <m/>
  </r>
  <r>
    <x v="6"/>
    <x v="1"/>
    <m/>
    <m/>
    <m/>
    <n v="72.666666666666671"/>
    <m/>
    <m/>
    <m/>
    <m/>
    <m/>
    <m/>
    <m/>
    <m/>
    <m/>
    <m/>
    <m/>
    <m/>
    <m/>
    <m/>
    <m/>
    <m/>
    <m/>
    <m/>
    <m/>
  </r>
  <r>
    <x v="6"/>
    <x v="2"/>
    <m/>
    <m/>
    <m/>
    <n v="70"/>
    <m/>
    <m/>
    <m/>
    <m/>
    <m/>
    <m/>
    <m/>
    <m/>
    <m/>
    <m/>
    <m/>
    <m/>
    <m/>
    <m/>
    <m/>
    <m/>
    <m/>
    <m/>
    <m/>
  </r>
  <r>
    <x v="6"/>
    <x v="3"/>
    <m/>
    <m/>
    <m/>
    <n v="68.666666666666671"/>
    <m/>
    <m/>
    <m/>
    <m/>
    <m/>
    <m/>
    <m/>
    <m/>
    <m/>
    <m/>
    <m/>
    <m/>
    <m/>
    <m/>
    <m/>
    <m/>
    <m/>
    <m/>
    <m/>
  </r>
  <r>
    <x v="6"/>
    <x v="4"/>
    <m/>
    <m/>
    <m/>
    <n v="67.333333333333329"/>
    <m/>
    <m/>
    <m/>
    <m/>
    <m/>
    <m/>
    <m/>
    <m/>
    <m/>
    <m/>
    <m/>
    <m/>
    <m/>
    <m/>
    <m/>
    <m/>
    <m/>
    <m/>
    <m/>
  </r>
  <r>
    <x v="6"/>
    <x v="5"/>
    <m/>
    <m/>
    <m/>
    <n v="65.333333333333329"/>
    <m/>
    <m/>
    <m/>
    <m/>
    <m/>
    <m/>
    <m/>
    <m/>
    <m/>
    <m/>
    <m/>
    <m/>
    <m/>
    <m/>
    <m/>
    <m/>
    <m/>
    <m/>
    <m/>
  </r>
  <r>
    <x v="6"/>
    <x v="6"/>
    <m/>
    <m/>
    <m/>
    <n v="62.666666666666664"/>
    <m/>
    <m/>
    <m/>
    <m/>
    <m/>
    <m/>
    <m/>
    <m/>
    <m/>
    <m/>
    <m/>
    <m/>
    <m/>
    <m/>
    <m/>
    <m/>
    <m/>
    <m/>
    <m/>
  </r>
  <r>
    <x v="6"/>
    <x v="7"/>
    <m/>
    <m/>
    <m/>
    <n v="433.3540165914348"/>
    <m/>
    <m/>
    <m/>
    <m/>
    <m/>
    <m/>
    <m/>
    <m/>
    <m/>
    <m/>
    <m/>
    <m/>
    <m/>
    <m/>
    <m/>
    <m/>
    <m/>
    <m/>
    <m/>
  </r>
  <r>
    <x v="6"/>
    <x v="8"/>
    <m/>
    <m/>
    <m/>
    <n v="0"/>
    <m/>
    <m/>
    <m/>
    <m/>
    <m/>
    <m/>
    <m/>
    <m/>
    <m/>
    <m/>
    <m/>
    <m/>
    <m/>
    <m/>
    <m/>
    <m/>
    <m/>
    <m/>
    <m/>
  </r>
  <r>
    <x v="7"/>
    <x v="0"/>
    <m/>
    <m/>
    <m/>
    <n v="15.466666666666667"/>
    <m/>
    <m/>
    <m/>
    <m/>
    <m/>
    <m/>
    <m/>
    <m/>
    <m/>
    <m/>
    <m/>
    <m/>
    <m/>
    <m/>
    <m/>
    <m/>
    <m/>
    <m/>
    <m/>
  </r>
  <r>
    <x v="7"/>
    <x v="1"/>
    <m/>
    <m/>
    <m/>
    <n v="42.146666666666668"/>
    <m/>
    <m/>
    <m/>
    <m/>
    <m/>
    <m/>
    <m/>
    <m/>
    <m/>
    <m/>
    <m/>
    <m/>
    <m/>
    <m/>
    <m/>
    <m/>
    <m/>
    <m/>
    <m/>
  </r>
  <r>
    <x v="7"/>
    <x v="2"/>
    <m/>
    <m/>
    <m/>
    <n v="40.6"/>
    <m/>
    <m/>
    <m/>
    <m/>
    <m/>
    <m/>
    <m/>
    <m/>
    <m/>
    <m/>
    <m/>
    <m/>
    <m/>
    <m/>
    <m/>
    <m/>
    <m/>
    <m/>
    <m/>
  </r>
  <r>
    <x v="7"/>
    <x v="3"/>
    <m/>
    <m/>
    <m/>
    <n v="39.826666666666661"/>
    <m/>
    <m/>
    <m/>
    <m/>
    <m/>
    <m/>
    <m/>
    <m/>
    <m/>
    <m/>
    <m/>
    <m/>
    <m/>
    <m/>
    <m/>
    <m/>
    <m/>
    <m/>
    <m/>
  </r>
  <r>
    <x v="7"/>
    <x v="4"/>
    <m/>
    <m/>
    <m/>
    <n v="39.053333333333335"/>
    <m/>
    <m/>
    <m/>
    <m/>
    <m/>
    <m/>
    <m/>
    <m/>
    <m/>
    <m/>
    <m/>
    <m/>
    <m/>
    <m/>
    <m/>
    <m/>
    <m/>
    <m/>
    <m/>
  </r>
  <r>
    <x v="7"/>
    <x v="5"/>
    <m/>
    <m/>
    <m/>
    <n v="37.893333333333331"/>
    <m/>
    <m/>
    <m/>
    <m/>
    <m/>
    <m/>
    <m/>
    <m/>
    <m/>
    <m/>
    <m/>
    <m/>
    <m/>
    <m/>
    <m/>
    <m/>
    <m/>
    <m/>
    <m/>
  </r>
  <r>
    <x v="7"/>
    <x v="6"/>
    <m/>
    <m/>
    <m/>
    <n v="36.346666666666664"/>
    <m/>
    <m/>
    <m/>
    <m/>
    <m/>
    <m/>
    <m/>
    <m/>
    <m/>
    <m/>
    <m/>
    <m/>
    <m/>
    <m/>
    <m/>
    <m/>
    <m/>
    <m/>
    <m/>
  </r>
  <r>
    <x v="7"/>
    <x v="7"/>
    <m/>
    <m/>
    <m/>
    <n v="248.32609437081655"/>
    <m/>
    <m/>
    <m/>
    <m/>
    <m/>
    <m/>
    <m/>
    <m/>
    <m/>
    <m/>
    <m/>
    <m/>
    <m/>
    <m/>
    <m/>
    <m/>
    <m/>
    <m/>
    <m/>
  </r>
  <r>
    <x v="7"/>
    <x v="8"/>
    <m/>
    <m/>
    <m/>
    <n v="0"/>
    <m/>
    <m/>
    <m/>
    <m/>
    <m/>
    <m/>
    <m/>
    <m/>
    <m/>
    <m/>
    <m/>
    <m/>
    <m/>
    <m/>
    <m/>
    <m/>
    <m/>
    <m/>
    <m/>
  </r>
  <r>
    <x v="8"/>
    <x v="0"/>
    <m/>
    <m/>
    <m/>
    <n v="47.466666666666669"/>
    <m/>
    <m/>
    <m/>
    <m/>
    <m/>
    <m/>
    <m/>
    <m/>
    <m/>
    <m/>
    <m/>
    <m/>
    <m/>
    <m/>
    <m/>
    <m/>
    <m/>
    <m/>
    <m/>
  </r>
  <r>
    <x v="8"/>
    <x v="1"/>
    <m/>
    <m/>
    <m/>
    <n v="129.34666666666666"/>
    <m/>
    <m/>
    <m/>
    <m/>
    <m/>
    <m/>
    <m/>
    <m/>
    <m/>
    <m/>
    <m/>
    <m/>
    <m/>
    <m/>
    <m/>
    <m/>
    <m/>
    <m/>
    <m/>
  </r>
  <r>
    <x v="8"/>
    <x v="2"/>
    <m/>
    <m/>
    <m/>
    <n v="124.60000000000001"/>
    <m/>
    <m/>
    <m/>
    <m/>
    <m/>
    <m/>
    <m/>
    <m/>
    <m/>
    <m/>
    <m/>
    <m/>
    <m/>
    <m/>
    <m/>
    <m/>
    <m/>
    <m/>
    <m/>
  </r>
  <r>
    <x v="8"/>
    <x v="3"/>
    <m/>
    <m/>
    <m/>
    <n v="122.22666666666667"/>
    <m/>
    <m/>
    <m/>
    <m/>
    <m/>
    <m/>
    <m/>
    <m/>
    <m/>
    <m/>
    <m/>
    <m/>
    <m/>
    <m/>
    <m/>
    <m/>
    <m/>
    <m/>
    <m/>
  </r>
  <r>
    <x v="8"/>
    <x v="4"/>
    <m/>
    <m/>
    <m/>
    <n v="119.85333333333334"/>
    <m/>
    <m/>
    <m/>
    <m/>
    <m/>
    <m/>
    <m/>
    <m/>
    <m/>
    <m/>
    <m/>
    <m/>
    <m/>
    <m/>
    <m/>
    <m/>
    <m/>
    <m/>
    <m/>
  </r>
  <r>
    <x v="8"/>
    <x v="5"/>
    <m/>
    <m/>
    <m/>
    <n v="116.29333333333334"/>
    <m/>
    <m/>
    <m/>
    <m/>
    <m/>
    <m/>
    <m/>
    <m/>
    <m/>
    <m/>
    <m/>
    <m/>
    <m/>
    <m/>
    <m/>
    <m/>
    <m/>
    <m/>
    <m/>
  </r>
  <r>
    <x v="8"/>
    <x v="6"/>
    <m/>
    <m/>
    <m/>
    <n v="111.54666666666667"/>
    <m/>
    <m/>
    <m/>
    <m/>
    <m/>
    <m/>
    <m/>
    <m/>
    <m/>
    <m/>
    <m/>
    <m/>
    <m/>
    <m/>
    <m/>
    <m/>
    <m/>
    <m/>
    <m/>
  </r>
  <r>
    <x v="8"/>
    <x v="7"/>
    <m/>
    <m/>
    <m/>
    <n v="464.21096512756276"/>
    <m/>
    <m/>
    <m/>
    <m/>
    <m/>
    <m/>
    <m/>
    <m/>
    <m/>
    <m/>
    <m/>
    <m/>
    <m/>
    <m/>
    <m/>
    <m/>
    <m/>
    <m/>
    <m/>
  </r>
  <r>
    <x v="8"/>
    <x v="8"/>
    <m/>
    <m/>
    <m/>
    <n v="0"/>
    <m/>
    <m/>
    <m/>
    <m/>
    <m/>
    <m/>
    <m/>
    <m/>
    <m/>
    <m/>
    <m/>
    <m/>
    <m/>
    <m/>
    <m/>
    <m/>
    <m/>
    <m/>
    <m/>
  </r>
  <r>
    <x v="9"/>
    <x v="0"/>
    <m/>
    <m/>
    <m/>
    <n v="596.80000000000007"/>
    <m/>
    <m/>
    <m/>
    <m/>
    <m/>
    <m/>
    <m/>
    <m/>
    <m/>
    <m/>
    <m/>
    <m/>
    <m/>
    <m/>
    <m/>
    <m/>
    <m/>
    <m/>
    <m/>
  </r>
  <r>
    <x v="9"/>
    <x v="1"/>
    <m/>
    <m/>
    <m/>
    <n v="1626.28"/>
    <m/>
    <m/>
    <m/>
    <m/>
    <m/>
    <m/>
    <m/>
    <m/>
    <m/>
    <m/>
    <m/>
    <m/>
    <m/>
    <m/>
    <m/>
    <m/>
    <m/>
    <m/>
    <m/>
  </r>
  <r>
    <x v="9"/>
    <x v="2"/>
    <m/>
    <m/>
    <m/>
    <n v="1566.6000000000001"/>
    <m/>
    <m/>
    <m/>
    <m/>
    <m/>
    <m/>
    <m/>
    <m/>
    <m/>
    <m/>
    <m/>
    <m/>
    <m/>
    <m/>
    <m/>
    <m/>
    <m/>
    <m/>
    <m/>
  </r>
  <r>
    <x v="9"/>
    <x v="3"/>
    <m/>
    <m/>
    <m/>
    <n v="1536.76"/>
    <m/>
    <m/>
    <m/>
    <m/>
    <m/>
    <m/>
    <m/>
    <m/>
    <m/>
    <m/>
    <m/>
    <m/>
    <m/>
    <m/>
    <m/>
    <m/>
    <m/>
    <m/>
    <m/>
  </r>
  <r>
    <x v="9"/>
    <x v="4"/>
    <m/>
    <m/>
    <m/>
    <n v="1506.92"/>
    <m/>
    <m/>
    <m/>
    <m/>
    <m/>
    <m/>
    <m/>
    <m/>
    <m/>
    <m/>
    <m/>
    <m/>
    <m/>
    <m/>
    <m/>
    <m/>
    <m/>
    <m/>
    <m/>
  </r>
  <r>
    <x v="9"/>
    <x v="5"/>
    <m/>
    <m/>
    <m/>
    <n v="1462.1599999999999"/>
    <m/>
    <m/>
    <m/>
    <m/>
    <m/>
    <m/>
    <m/>
    <m/>
    <m/>
    <m/>
    <m/>
    <m/>
    <m/>
    <m/>
    <m/>
    <m/>
    <m/>
    <m/>
    <m/>
  </r>
  <r>
    <x v="9"/>
    <x v="6"/>
    <m/>
    <m/>
    <m/>
    <n v="1402.4799999999998"/>
    <m/>
    <m/>
    <m/>
    <m/>
    <m/>
    <m/>
    <m/>
    <m/>
    <m/>
    <m/>
    <m/>
    <m/>
    <m/>
    <m/>
    <m/>
    <m/>
    <m/>
    <m/>
    <m/>
  </r>
  <r>
    <x v="9"/>
    <x v="7"/>
    <m/>
    <m/>
    <m/>
    <n v="9702.4335961722609"/>
    <m/>
    <m/>
    <m/>
    <m/>
    <m/>
    <m/>
    <m/>
    <m/>
    <m/>
    <m/>
    <m/>
    <m/>
    <m/>
    <m/>
    <m/>
    <m/>
    <m/>
    <m/>
    <m/>
  </r>
  <r>
    <x v="9"/>
    <x v="8"/>
    <m/>
    <m/>
    <m/>
    <n v="0"/>
    <m/>
    <m/>
    <m/>
    <m/>
    <m/>
    <m/>
    <m/>
    <m/>
    <m/>
    <m/>
    <m/>
    <m/>
    <m/>
    <m/>
    <m/>
    <m/>
    <m/>
    <m/>
    <m/>
  </r>
  <r>
    <x v="10"/>
    <x v="0"/>
    <m/>
    <m/>
    <m/>
    <n v="436.26666666666665"/>
    <m/>
    <m/>
    <m/>
    <m/>
    <m/>
    <m/>
    <m/>
    <m/>
    <m/>
    <m/>
    <m/>
    <m/>
    <m/>
    <m/>
    <m/>
    <m/>
    <m/>
    <m/>
    <m/>
  </r>
  <r>
    <x v="10"/>
    <x v="1"/>
    <m/>
    <m/>
    <m/>
    <n v="1188.8266666666666"/>
    <m/>
    <m/>
    <m/>
    <m/>
    <m/>
    <m/>
    <m/>
    <m/>
    <m/>
    <m/>
    <m/>
    <m/>
    <m/>
    <m/>
    <m/>
    <m/>
    <m/>
    <m/>
    <m/>
  </r>
  <r>
    <x v="10"/>
    <x v="2"/>
    <m/>
    <m/>
    <m/>
    <n v="1145.2"/>
    <m/>
    <m/>
    <m/>
    <m/>
    <m/>
    <m/>
    <m/>
    <m/>
    <m/>
    <m/>
    <m/>
    <m/>
    <m/>
    <m/>
    <m/>
    <m/>
    <m/>
    <m/>
    <m/>
  </r>
  <r>
    <x v="10"/>
    <x v="3"/>
    <m/>
    <m/>
    <m/>
    <n v="1123.3866666666665"/>
    <m/>
    <m/>
    <m/>
    <m/>
    <m/>
    <m/>
    <m/>
    <m/>
    <m/>
    <m/>
    <m/>
    <m/>
    <m/>
    <m/>
    <m/>
    <m/>
    <m/>
    <m/>
    <m/>
  </r>
  <r>
    <x v="10"/>
    <x v="4"/>
    <m/>
    <m/>
    <m/>
    <n v="1101.5733333333333"/>
    <m/>
    <m/>
    <m/>
    <m/>
    <m/>
    <m/>
    <m/>
    <m/>
    <m/>
    <m/>
    <m/>
    <m/>
    <m/>
    <m/>
    <m/>
    <m/>
    <m/>
    <m/>
    <m/>
  </r>
  <r>
    <x v="10"/>
    <x v="5"/>
    <m/>
    <m/>
    <m/>
    <n v="1068.8533333333332"/>
    <m/>
    <m/>
    <m/>
    <m/>
    <m/>
    <m/>
    <m/>
    <m/>
    <m/>
    <m/>
    <m/>
    <m/>
    <m/>
    <m/>
    <m/>
    <m/>
    <m/>
    <m/>
    <m/>
  </r>
  <r>
    <x v="10"/>
    <x v="6"/>
    <m/>
    <m/>
    <m/>
    <n v="1025.2266666666667"/>
    <m/>
    <m/>
    <m/>
    <m/>
    <m/>
    <m/>
    <m/>
    <m/>
    <m/>
    <m/>
    <m/>
    <m/>
    <m/>
    <m/>
    <m/>
    <m/>
    <m/>
    <m/>
    <m/>
  </r>
  <r>
    <x v="10"/>
    <x v="7"/>
    <m/>
    <m/>
    <m/>
    <n v="7090.8987714915866"/>
    <m/>
    <m/>
    <m/>
    <m/>
    <m/>
    <m/>
    <m/>
    <m/>
    <m/>
    <m/>
    <m/>
    <m/>
    <m/>
    <m/>
    <m/>
    <m/>
    <m/>
    <m/>
    <m/>
  </r>
  <r>
    <x v="10"/>
    <x v="8"/>
    <m/>
    <m/>
    <m/>
    <n v="0"/>
    <m/>
    <m/>
    <m/>
    <m/>
    <m/>
    <m/>
    <m/>
    <m/>
    <m/>
    <m/>
    <m/>
    <m/>
    <m/>
    <m/>
    <m/>
    <m/>
    <m/>
    <m/>
    <m/>
  </r>
  <r>
    <x v="11"/>
    <x v="0"/>
    <m/>
    <m/>
    <m/>
    <n v="294.39999999999998"/>
    <m/>
    <m/>
    <m/>
    <m/>
    <m/>
    <m/>
    <m/>
    <m/>
    <m/>
    <m/>
    <m/>
    <m/>
    <m/>
    <m/>
    <m/>
    <m/>
    <m/>
    <m/>
    <m/>
  </r>
  <r>
    <x v="11"/>
    <x v="1"/>
    <m/>
    <m/>
    <m/>
    <n v="802.2399999999999"/>
    <m/>
    <m/>
    <m/>
    <m/>
    <m/>
    <m/>
    <m/>
    <m/>
    <m/>
    <m/>
    <m/>
    <m/>
    <m/>
    <m/>
    <m/>
    <m/>
    <m/>
    <m/>
    <m/>
  </r>
  <r>
    <x v="11"/>
    <x v="2"/>
    <m/>
    <m/>
    <m/>
    <n v="772.80000000000007"/>
    <m/>
    <m/>
    <m/>
    <m/>
    <m/>
    <m/>
    <m/>
    <m/>
    <m/>
    <m/>
    <m/>
    <m/>
    <m/>
    <m/>
    <m/>
    <m/>
    <m/>
    <m/>
    <m/>
  </r>
  <r>
    <x v="11"/>
    <x v="3"/>
    <m/>
    <m/>
    <m/>
    <n v="758.07999999999993"/>
    <m/>
    <m/>
    <m/>
    <m/>
    <m/>
    <m/>
    <m/>
    <m/>
    <m/>
    <m/>
    <m/>
    <m/>
    <m/>
    <m/>
    <m/>
    <m/>
    <m/>
    <m/>
    <m/>
  </r>
  <r>
    <x v="11"/>
    <x v="4"/>
    <m/>
    <m/>
    <m/>
    <n v="743.36"/>
    <m/>
    <m/>
    <m/>
    <m/>
    <m/>
    <m/>
    <m/>
    <m/>
    <m/>
    <m/>
    <m/>
    <m/>
    <m/>
    <m/>
    <m/>
    <m/>
    <m/>
    <m/>
    <m/>
  </r>
  <r>
    <x v="11"/>
    <x v="5"/>
    <m/>
    <m/>
    <m/>
    <n v="721.28000000000009"/>
    <m/>
    <m/>
    <m/>
    <m/>
    <m/>
    <m/>
    <m/>
    <m/>
    <m/>
    <m/>
    <m/>
    <m/>
    <m/>
    <m/>
    <m/>
    <m/>
    <m/>
    <m/>
    <m/>
  </r>
  <r>
    <x v="11"/>
    <x v="6"/>
    <m/>
    <m/>
    <m/>
    <n v="691.84"/>
    <m/>
    <m/>
    <m/>
    <m/>
    <m/>
    <m/>
    <m/>
    <m/>
    <m/>
    <m/>
    <m/>
    <m/>
    <m/>
    <m/>
    <m/>
    <m/>
    <m/>
    <m/>
    <m/>
  </r>
  <r>
    <x v="11"/>
    <x v="7"/>
    <m/>
    <m/>
    <m/>
    <n v="4782.4581441823493"/>
    <m/>
    <m/>
    <m/>
    <m/>
    <m/>
    <m/>
    <m/>
    <m/>
    <m/>
    <m/>
    <m/>
    <m/>
    <m/>
    <m/>
    <m/>
    <m/>
    <m/>
    <m/>
    <m/>
  </r>
  <r>
    <x v="11"/>
    <x v="8"/>
    <m/>
    <m/>
    <m/>
    <n v="0"/>
    <m/>
    <m/>
    <m/>
    <m/>
    <m/>
    <m/>
    <m/>
    <m/>
    <m/>
    <m/>
    <m/>
    <m/>
    <m/>
    <m/>
    <m/>
    <m/>
    <m/>
    <m/>
    <m/>
  </r>
  <r>
    <x v="12"/>
    <x v="0"/>
    <m/>
    <m/>
    <m/>
    <n v="230.93333333333331"/>
    <m/>
    <m/>
    <m/>
    <m/>
    <m/>
    <m/>
    <m/>
    <m/>
    <m/>
    <m/>
    <m/>
    <m/>
    <m/>
    <m/>
    <m/>
    <m/>
    <m/>
    <m/>
    <m/>
  </r>
  <r>
    <x v="12"/>
    <x v="1"/>
    <m/>
    <m/>
    <m/>
    <n v="629.29333333333329"/>
    <m/>
    <m/>
    <m/>
    <m/>
    <m/>
    <m/>
    <m/>
    <m/>
    <m/>
    <m/>
    <m/>
    <m/>
    <m/>
    <m/>
    <m/>
    <m/>
    <m/>
    <m/>
    <m/>
  </r>
  <r>
    <x v="12"/>
    <x v="2"/>
    <m/>
    <m/>
    <m/>
    <n v="606.19999999999993"/>
    <m/>
    <m/>
    <m/>
    <m/>
    <m/>
    <m/>
    <m/>
    <m/>
    <m/>
    <m/>
    <m/>
    <m/>
    <m/>
    <m/>
    <m/>
    <m/>
    <m/>
    <m/>
    <m/>
  </r>
  <r>
    <x v="12"/>
    <x v="3"/>
    <m/>
    <m/>
    <m/>
    <n v="594.65333333333331"/>
    <m/>
    <m/>
    <m/>
    <m/>
    <m/>
    <m/>
    <m/>
    <m/>
    <m/>
    <m/>
    <m/>
    <m/>
    <m/>
    <m/>
    <m/>
    <m/>
    <m/>
    <m/>
    <m/>
  </r>
  <r>
    <x v="12"/>
    <x v="4"/>
    <m/>
    <m/>
    <m/>
    <n v="583.10666666666668"/>
    <m/>
    <m/>
    <m/>
    <m/>
    <m/>
    <m/>
    <m/>
    <m/>
    <m/>
    <m/>
    <m/>
    <m/>
    <m/>
    <m/>
    <m/>
    <m/>
    <m/>
    <m/>
    <m/>
  </r>
  <r>
    <x v="12"/>
    <x v="5"/>
    <m/>
    <m/>
    <m/>
    <n v="565.78666666666663"/>
    <m/>
    <m/>
    <m/>
    <m/>
    <m/>
    <m/>
    <m/>
    <m/>
    <m/>
    <m/>
    <m/>
    <m/>
    <m/>
    <m/>
    <m/>
    <m/>
    <m/>
    <m/>
    <m/>
  </r>
  <r>
    <x v="12"/>
    <x v="6"/>
    <m/>
    <m/>
    <m/>
    <n v="542.69333333333327"/>
    <m/>
    <m/>
    <m/>
    <m/>
    <m/>
    <m/>
    <m/>
    <m/>
    <m/>
    <m/>
    <m/>
    <m/>
    <m/>
    <m/>
    <m/>
    <m/>
    <m/>
    <m/>
    <m/>
  </r>
  <r>
    <x v="12"/>
    <x v="7"/>
    <m/>
    <m/>
    <m/>
    <n v="3754.6242321747309"/>
    <m/>
    <m/>
    <m/>
    <m/>
    <m/>
    <m/>
    <m/>
    <m/>
    <m/>
    <m/>
    <m/>
    <m/>
    <m/>
    <m/>
    <m/>
    <m/>
    <m/>
    <m/>
    <m/>
  </r>
  <r>
    <x v="12"/>
    <x v="8"/>
    <m/>
    <m/>
    <m/>
    <n v="0"/>
    <m/>
    <m/>
    <m/>
    <m/>
    <m/>
    <m/>
    <m/>
    <m/>
    <m/>
    <m/>
    <m/>
    <m/>
    <m/>
    <m/>
    <m/>
    <m/>
    <m/>
    <m/>
    <m/>
  </r>
  <r>
    <x v="13"/>
    <x v="0"/>
    <m/>
    <m/>
    <m/>
    <n v="54.400000000000006"/>
    <m/>
    <m/>
    <m/>
    <m/>
    <m/>
    <m/>
    <m/>
    <m/>
    <m/>
    <m/>
    <m/>
    <m/>
    <m/>
    <m/>
    <m/>
    <m/>
    <m/>
    <m/>
    <m/>
  </r>
  <r>
    <x v="13"/>
    <x v="1"/>
    <m/>
    <m/>
    <m/>
    <n v="148.24"/>
    <m/>
    <m/>
    <m/>
    <m/>
    <m/>
    <m/>
    <m/>
    <m/>
    <m/>
    <m/>
    <m/>
    <m/>
    <m/>
    <m/>
    <m/>
    <m/>
    <m/>
    <m/>
    <m/>
  </r>
  <r>
    <x v="13"/>
    <x v="2"/>
    <m/>
    <m/>
    <m/>
    <n v="142.80000000000001"/>
    <m/>
    <m/>
    <m/>
    <m/>
    <m/>
    <m/>
    <m/>
    <m/>
    <m/>
    <m/>
    <m/>
    <m/>
    <m/>
    <m/>
    <m/>
    <m/>
    <m/>
    <m/>
    <m/>
  </r>
  <r>
    <x v="13"/>
    <x v="3"/>
    <m/>
    <m/>
    <m/>
    <n v="140.08000000000001"/>
    <m/>
    <m/>
    <m/>
    <m/>
    <m/>
    <m/>
    <m/>
    <m/>
    <m/>
    <m/>
    <m/>
    <m/>
    <m/>
    <m/>
    <m/>
    <m/>
    <m/>
    <m/>
    <m/>
  </r>
  <r>
    <x v="13"/>
    <x v="4"/>
    <m/>
    <m/>
    <m/>
    <n v="137.36000000000001"/>
    <m/>
    <m/>
    <m/>
    <m/>
    <m/>
    <m/>
    <m/>
    <m/>
    <m/>
    <m/>
    <m/>
    <m/>
    <m/>
    <m/>
    <m/>
    <m/>
    <m/>
    <m/>
    <m/>
  </r>
  <r>
    <x v="13"/>
    <x v="5"/>
    <m/>
    <m/>
    <m/>
    <n v="133.28"/>
    <m/>
    <m/>
    <m/>
    <m/>
    <m/>
    <m/>
    <m/>
    <m/>
    <m/>
    <m/>
    <m/>
    <m/>
    <m/>
    <m/>
    <m/>
    <m/>
    <m/>
    <m/>
    <m/>
  </r>
  <r>
    <x v="13"/>
    <x v="6"/>
    <m/>
    <m/>
    <m/>
    <n v="127.84000000000002"/>
    <m/>
    <m/>
    <m/>
    <m/>
    <m/>
    <m/>
    <m/>
    <m/>
    <m/>
    <m/>
    <m/>
    <m/>
    <m/>
    <m/>
    <m/>
    <m/>
    <m/>
    <m/>
    <m/>
  </r>
  <r>
    <x v="13"/>
    <x v="7"/>
    <m/>
    <m/>
    <m/>
    <n v="884.58695364840435"/>
    <m/>
    <m/>
    <m/>
    <m/>
    <m/>
    <m/>
    <m/>
    <m/>
    <m/>
    <m/>
    <m/>
    <m/>
    <m/>
    <m/>
    <m/>
    <m/>
    <m/>
    <m/>
    <m/>
  </r>
  <r>
    <x v="13"/>
    <x v="8"/>
    <m/>
    <m/>
    <m/>
    <n v="0"/>
    <m/>
    <m/>
    <m/>
    <m/>
    <m/>
    <m/>
    <m/>
    <m/>
    <m/>
    <m/>
    <m/>
    <m/>
    <m/>
    <m/>
    <m/>
    <m/>
    <m/>
    <m/>
    <m/>
  </r>
  <r>
    <x v="14"/>
    <x v="0"/>
    <m/>
    <m/>
    <m/>
    <n v="576.53333333333342"/>
    <m/>
    <m/>
    <m/>
    <m/>
    <m/>
    <m/>
    <m/>
    <m/>
    <m/>
    <m/>
    <m/>
    <m/>
    <m/>
    <m/>
    <m/>
    <m/>
    <m/>
    <m/>
    <m/>
  </r>
  <r>
    <x v="14"/>
    <x v="1"/>
    <m/>
    <m/>
    <m/>
    <n v="1571.0533333333333"/>
    <m/>
    <m/>
    <m/>
    <m/>
    <m/>
    <m/>
    <m/>
    <m/>
    <m/>
    <m/>
    <m/>
    <m/>
    <m/>
    <m/>
    <m/>
    <m/>
    <m/>
    <m/>
    <m/>
  </r>
  <r>
    <x v="14"/>
    <x v="2"/>
    <m/>
    <m/>
    <m/>
    <n v="1513.3999999999999"/>
    <m/>
    <m/>
    <m/>
    <m/>
    <m/>
    <m/>
    <m/>
    <m/>
    <m/>
    <m/>
    <m/>
    <m/>
    <m/>
    <m/>
    <m/>
    <m/>
    <m/>
    <m/>
    <m/>
  </r>
  <r>
    <x v="14"/>
    <x v="3"/>
    <m/>
    <m/>
    <m/>
    <n v="1484.5733333333335"/>
    <m/>
    <m/>
    <m/>
    <m/>
    <m/>
    <m/>
    <m/>
    <m/>
    <m/>
    <m/>
    <m/>
    <m/>
    <m/>
    <m/>
    <m/>
    <m/>
    <m/>
    <m/>
    <m/>
  </r>
  <r>
    <x v="14"/>
    <x v="4"/>
    <m/>
    <m/>
    <m/>
    <n v="1455.7466666666667"/>
    <m/>
    <m/>
    <m/>
    <m/>
    <m/>
    <m/>
    <m/>
    <m/>
    <m/>
    <m/>
    <m/>
    <m/>
    <m/>
    <m/>
    <m/>
    <m/>
    <m/>
    <m/>
    <m/>
  </r>
  <r>
    <x v="14"/>
    <x v="5"/>
    <m/>
    <m/>
    <m/>
    <n v="1412.5066666666669"/>
    <m/>
    <m/>
    <m/>
    <m/>
    <m/>
    <m/>
    <m/>
    <m/>
    <m/>
    <m/>
    <m/>
    <m/>
    <m/>
    <m/>
    <m/>
    <m/>
    <m/>
    <m/>
    <m/>
  </r>
  <r>
    <x v="14"/>
    <x v="6"/>
    <m/>
    <m/>
    <m/>
    <n v="1354.8533333333332"/>
    <m/>
    <m/>
    <m/>
    <m/>
    <m/>
    <m/>
    <m/>
    <m/>
    <m/>
    <m/>
    <m/>
    <m/>
    <m/>
    <m/>
    <m/>
    <m/>
    <m/>
    <m/>
    <m/>
  </r>
  <r>
    <x v="14"/>
    <x v="7"/>
    <m/>
    <m/>
    <m/>
    <n v="9365.29456592936"/>
    <m/>
    <m/>
    <m/>
    <m/>
    <m/>
    <m/>
    <m/>
    <m/>
    <m/>
    <m/>
    <m/>
    <m/>
    <m/>
    <m/>
    <m/>
    <m/>
    <m/>
    <m/>
    <m/>
  </r>
  <r>
    <x v="14"/>
    <x v="8"/>
    <m/>
    <m/>
    <m/>
    <n v="0"/>
    <m/>
    <m/>
    <m/>
    <m/>
    <m/>
    <m/>
    <m/>
    <m/>
    <m/>
    <m/>
    <m/>
    <m/>
    <m/>
    <m/>
    <m/>
    <m/>
    <m/>
    <m/>
    <m/>
  </r>
  <r>
    <x v="15"/>
    <x v="0"/>
    <m/>
    <m/>
    <m/>
    <n v="37.866666666666667"/>
    <m/>
    <m/>
    <m/>
    <m/>
    <m/>
    <m/>
    <m/>
    <m/>
    <m/>
    <m/>
    <m/>
    <m/>
    <m/>
    <m/>
    <m/>
    <m/>
    <m/>
    <m/>
    <m/>
  </r>
  <r>
    <x v="15"/>
    <x v="1"/>
    <m/>
    <m/>
    <m/>
    <n v="103.18666666666667"/>
    <m/>
    <m/>
    <m/>
    <m/>
    <m/>
    <m/>
    <m/>
    <m/>
    <m/>
    <m/>
    <m/>
    <m/>
    <m/>
    <m/>
    <m/>
    <m/>
    <m/>
    <m/>
    <m/>
  </r>
  <r>
    <x v="15"/>
    <x v="2"/>
    <m/>
    <m/>
    <m/>
    <n v="99.40000000000002"/>
    <m/>
    <m/>
    <m/>
    <m/>
    <m/>
    <m/>
    <m/>
    <m/>
    <m/>
    <m/>
    <m/>
    <m/>
    <m/>
    <m/>
    <m/>
    <m/>
    <m/>
    <m/>
    <m/>
  </r>
  <r>
    <x v="15"/>
    <x v="3"/>
    <m/>
    <m/>
    <m/>
    <n v="97.506666666666675"/>
    <m/>
    <m/>
    <m/>
    <m/>
    <m/>
    <m/>
    <m/>
    <m/>
    <m/>
    <m/>
    <m/>
    <m/>
    <m/>
    <m/>
    <m/>
    <m/>
    <m/>
    <m/>
    <m/>
  </r>
  <r>
    <x v="15"/>
    <x v="4"/>
    <m/>
    <m/>
    <m/>
    <n v="95.613333333333344"/>
    <m/>
    <m/>
    <m/>
    <m/>
    <m/>
    <m/>
    <m/>
    <m/>
    <m/>
    <m/>
    <m/>
    <m/>
    <m/>
    <m/>
    <m/>
    <m/>
    <m/>
    <m/>
    <m/>
  </r>
  <r>
    <x v="15"/>
    <x v="5"/>
    <m/>
    <m/>
    <m/>
    <n v="92.773333333333326"/>
    <m/>
    <m/>
    <m/>
    <m/>
    <m/>
    <m/>
    <m/>
    <m/>
    <m/>
    <m/>
    <m/>
    <m/>
    <m/>
    <m/>
    <m/>
    <m/>
    <m/>
    <m/>
    <m/>
  </r>
  <r>
    <x v="15"/>
    <x v="6"/>
    <m/>
    <m/>
    <m/>
    <n v="88.986666666666679"/>
    <m/>
    <m/>
    <m/>
    <m/>
    <m/>
    <m/>
    <m/>
    <m/>
    <m/>
    <m/>
    <m/>
    <m/>
    <m/>
    <m/>
    <m/>
    <m/>
    <m/>
    <m/>
    <m/>
  </r>
  <r>
    <x v="15"/>
    <x v="7"/>
    <m/>
    <m/>
    <m/>
    <n v="618.23537116848559"/>
    <m/>
    <m/>
    <m/>
    <m/>
    <m/>
    <m/>
    <m/>
    <m/>
    <m/>
    <m/>
    <m/>
    <m/>
    <m/>
    <m/>
    <m/>
    <m/>
    <m/>
    <m/>
    <m/>
  </r>
  <r>
    <x v="15"/>
    <x v="8"/>
    <m/>
    <m/>
    <m/>
    <n v="0"/>
    <m/>
    <m/>
    <m/>
    <m/>
    <m/>
    <m/>
    <m/>
    <m/>
    <m/>
    <m/>
    <m/>
    <m/>
    <m/>
    <m/>
    <m/>
    <m/>
    <m/>
    <m/>
    <m/>
  </r>
  <r>
    <x v="16"/>
    <x v="0"/>
    <m/>
    <m/>
    <m/>
    <n v="54.400000000000006"/>
    <m/>
    <m/>
    <m/>
    <m/>
    <m/>
    <m/>
    <m/>
    <m/>
    <m/>
    <m/>
    <m/>
    <m/>
    <m/>
    <m/>
    <m/>
    <m/>
    <m/>
    <m/>
    <m/>
  </r>
  <r>
    <x v="16"/>
    <x v="1"/>
    <m/>
    <m/>
    <m/>
    <n v="148.24"/>
    <m/>
    <m/>
    <m/>
    <m/>
    <m/>
    <m/>
    <m/>
    <m/>
    <m/>
    <m/>
    <m/>
    <m/>
    <m/>
    <m/>
    <m/>
    <m/>
    <m/>
    <m/>
    <m/>
  </r>
  <r>
    <x v="16"/>
    <x v="2"/>
    <m/>
    <m/>
    <m/>
    <n v="142.80000000000001"/>
    <m/>
    <m/>
    <m/>
    <m/>
    <m/>
    <m/>
    <m/>
    <m/>
    <m/>
    <m/>
    <m/>
    <m/>
    <m/>
    <m/>
    <m/>
    <m/>
    <m/>
    <m/>
    <m/>
  </r>
  <r>
    <x v="16"/>
    <x v="3"/>
    <m/>
    <m/>
    <m/>
    <n v="140.08000000000001"/>
    <m/>
    <m/>
    <m/>
    <m/>
    <m/>
    <m/>
    <m/>
    <m/>
    <m/>
    <m/>
    <m/>
    <m/>
    <m/>
    <m/>
    <m/>
    <m/>
    <m/>
    <m/>
    <m/>
  </r>
  <r>
    <x v="16"/>
    <x v="4"/>
    <m/>
    <m/>
    <m/>
    <n v="137.36000000000001"/>
    <m/>
    <m/>
    <m/>
    <m/>
    <m/>
    <m/>
    <m/>
    <m/>
    <m/>
    <m/>
    <m/>
    <m/>
    <m/>
    <m/>
    <m/>
    <m/>
    <m/>
    <m/>
    <m/>
  </r>
  <r>
    <x v="16"/>
    <x v="5"/>
    <m/>
    <m/>
    <m/>
    <n v="133.28"/>
    <m/>
    <m/>
    <m/>
    <m/>
    <m/>
    <m/>
    <m/>
    <m/>
    <m/>
    <m/>
    <m/>
    <m/>
    <m/>
    <m/>
    <m/>
    <m/>
    <m/>
    <m/>
    <m/>
  </r>
  <r>
    <x v="16"/>
    <x v="6"/>
    <m/>
    <m/>
    <m/>
    <n v="127.84000000000002"/>
    <m/>
    <m/>
    <m/>
    <m/>
    <m/>
    <m/>
    <m/>
    <m/>
    <m/>
    <m/>
    <m/>
    <m/>
    <m/>
    <m/>
    <m/>
    <m/>
    <m/>
    <m/>
    <m/>
  </r>
  <r>
    <x v="16"/>
    <x v="7"/>
    <m/>
    <m/>
    <m/>
    <n v="885.56182239573684"/>
    <m/>
    <m/>
    <m/>
    <m/>
    <m/>
    <m/>
    <m/>
    <m/>
    <m/>
    <m/>
    <m/>
    <m/>
    <m/>
    <m/>
    <m/>
    <m/>
    <m/>
    <m/>
    <m/>
  </r>
  <r>
    <x v="16"/>
    <x v="8"/>
    <m/>
    <m/>
    <m/>
    <n v="0"/>
    <m/>
    <m/>
    <m/>
    <m/>
    <m/>
    <m/>
    <m/>
    <m/>
    <m/>
    <m/>
    <m/>
    <m/>
    <m/>
    <m/>
    <m/>
    <m/>
    <m/>
    <m/>
    <m/>
  </r>
  <r>
    <x v="17"/>
    <x v="0"/>
    <m/>
    <m/>
    <m/>
    <n v="5.333333333333333"/>
    <m/>
    <m/>
    <m/>
    <m/>
    <m/>
    <m/>
    <m/>
    <m/>
    <m/>
    <m/>
    <m/>
    <m/>
    <m/>
    <m/>
    <m/>
    <m/>
    <m/>
    <m/>
    <m/>
  </r>
  <r>
    <x v="17"/>
    <x v="1"/>
    <m/>
    <m/>
    <m/>
    <n v="14.533333333333333"/>
    <m/>
    <m/>
    <m/>
    <m/>
    <m/>
    <m/>
    <m/>
    <m/>
    <m/>
    <m/>
    <m/>
    <m/>
    <m/>
    <m/>
    <m/>
    <m/>
    <m/>
    <m/>
    <m/>
  </r>
  <r>
    <x v="17"/>
    <x v="2"/>
    <m/>
    <m/>
    <m/>
    <n v="14"/>
    <m/>
    <m/>
    <m/>
    <m/>
    <m/>
    <m/>
    <m/>
    <m/>
    <m/>
    <m/>
    <m/>
    <m/>
    <m/>
    <m/>
    <m/>
    <m/>
    <m/>
    <m/>
    <m/>
  </r>
  <r>
    <x v="17"/>
    <x v="3"/>
    <m/>
    <m/>
    <m/>
    <n v="13.733333333333334"/>
    <m/>
    <m/>
    <m/>
    <m/>
    <m/>
    <m/>
    <m/>
    <m/>
    <m/>
    <m/>
    <m/>
    <m/>
    <m/>
    <m/>
    <m/>
    <m/>
    <m/>
    <m/>
    <m/>
  </r>
  <r>
    <x v="17"/>
    <x v="4"/>
    <m/>
    <m/>
    <m/>
    <n v="13.466666666666667"/>
    <m/>
    <m/>
    <m/>
    <m/>
    <m/>
    <m/>
    <m/>
    <m/>
    <m/>
    <m/>
    <m/>
    <m/>
    <m/>
    <m/>
    <m/>
    <m/>
    <m/>
    <m/>
    <m/>
  </r>
  <r>
    <x v="17"/>
    <x v="5"/>
    <m/>
    <m/>
    <m/>
    <n v="13.066666666666668"/>
    <m/>
    <m/>
    <m/>
    <m/>
    <m/>
    <m/>
    <m/>
    <m/>
    <m/>
    <m/>
    <m/>
    <m/>
    <m/>
    <m/>
    <m/>
    <m/>
    <m/>
    <m/>
    <m/>
  </r>
  <r>
    <x v="17"/>
    <x v="6"/>
    <m/>
    <m/>
    <m/>
    <n v="12.533333333333333"/>
    <m/>
    <m/>
    <m/>
    <m/>
    <m/>
    <m/>
    <m/>
    <m/>
    <m/>
    <m/>
    <m/>
    <m/>
    <m/>
    <m/>
    <m/>
    <m/>
    <m/>
    <m/>
    <m/>
  </r>
  <r>
    <x v="17"/>
    <x v="7"/>
    <m/>
    <m/>
    <m/>
    <n v="88.143346104792712"/>
    <m/>
    <m/>
    <m/>
    <m/>
    <m/>
    <m/>
    <m/>
    <m/>
    <m/>
    <m/>
    <m/>
    <m/>
    <m/>
    <m/>
    <m/>
    <m/>
    <m/>
    <m/>
    <m/>
  </r>
  <r>
    <x v="17"/>
    <x v="8"/>
    <m/>
    <m/>
    <m/>
    <n v="0"/>
    <m/>
    <m/>
    <m/>
    <m/>
    <m/>
    <m/>
    <m/>
    <m/>
    <m/>
    <m/>
    <m/>
    <m/>
    <m/>
    <m/>
    <m/>
    <m/>
    <m/>
    <m/>
    <m/>
  </r>
  <r>
    <x v="18"/>
    <x v="0"/>
    <m/>
    <m/>
    <m/>
    <n v="3.7333333333333329"/>
    <m/>
    <m/>
    <m/>
    <m/>
    <m/>
    <m/>
    <m/>
    <m/>
    <m/>
    <m/>
    <m/>
    <m/>
    <m/>
    <m/>
    <m/>
    <m/>
    <m/>
    <m/>
    <m/>
  </r>
  <r>
    <x v="18"/>
    <x v="1"/>
    <m/>
    <m/>
    <m/>
    <n v="10.173333333333334"/>
    <m/>
    <m/>
    <m/>
    <m/>
    <m/>
    <m/>
    <m/>
    <m/>
    <m/>
    <m/>
    <m/>
    <m/>
    <m/>
    <m/>
    <m/>
    <m/>
    <m/>
    <m/>
    <m/>
  </r>
  <r>
    <x v="18"/>
    <x v="2"/>
    <m/>
    <m/>
    <m/>
    <n v="9.7999999999999989"/>
    <m/>
    <m/>
    <m/>
    <m/>
    <m/>
    <m/>
    <m/>
    <m/>
    <m/>
    <m/>
    <m/>
    <m/>
    <m/>
    <m/>
    <m/>
    <m/>
    <m/>
    <m/>
    <m/>
  </r>
  <r>
    <x v="18"/>
    <x v="3"/>
    <m/>
    <m/>
    <m/>
    <n v="9.6133333333333333"/>
    <m/>
    <m/>
    <m/>
    <m/>
    <m/>
    <m/>
    <m/>
    <m/>
    <m/>
    <m/>
    <m/>
    <m/>
    <m/>
    <m/>
    <m/>
    <m/>
    <m/>
    <m/>
    <m/>
  </r>
  <r>
    <x v="18"/>
    <x v="4"/>
    <m/>
    <m/>
    <m/>
    <n v="9.4266666666666676"/>
    <m/>
    <m/>
    <m/>
    <m/>
    <m/>
    <m/>
    <m/>
    <m/>
    <m/>
    <m/>
    <m/>
    <m/>
    <m/>
    <m/>
    <m/>
    <m/>
    <m/>
    <m/>
    <m/>
  </r>
  <r>
    <x v="18"/>
    <x v="5"/>
    <m/>
    <m/>
    <m/>
    <n v="9.1466666666666665"/>
    <m/>
    <m/>
    <m/>
    <m/>
    <m/>
    <m/>
    <m/>
    <m/>
    <m/>
    <m/>
    <m/>
    <m/>
    <m/>
    <m/>
    <m/>
    <m/>
    <m/>
    <m/>
    <m/>
  </r>
  <r>
    <x v="18"/>
    <x v="6"/>
    <m/>
    <m/>
    <m/>
    <n v="8.7733333333333334"/>
    <m/>
    <m/>
    <m/>
    <m/>
    <m/>
    <m/>
    <m/>
    <m/>
    <m/>
    <m/>
    <m/>
    <m/>
    <m/>
    <m/>
    <m/>
    <m/>
    <m/>
    <m/>
    <m/>
  </r>
  <r>
    <x v="18"/>
    <x v="7"/>
    <m/>
    <m/>
    <m/>
    <n v="60.666666666666664"/>
    <m/>
    <m/>
    <m/>
    <m/>
    <m/>
    <m/>
    <m/>
    <m/>
    <m/>
    <m/>
    <m/>
    <m/>
    <m/>
    <m/>
    <m/>
    <m/>
    <m/>
    <m/>
    <m/>
  </r>
  <r>
    <x v="18"/>
    <x v="8"/>
    <m/>
    <m/>
    <m/>
    <n v="0"/>
    <m/>
    <m/>
    <m/>
    <m/>
    <m/>
    <m/>
    <m/>
    <m/>
    <m/>
    <m/>
    <m/>
    <m/>
    <m/>
    <m/>
    <m/>
    <m/>
    <m/>
    <m/>
    <m/>
  </r>
  <r>
    <x v="19"/>
    <x v="0"/>
    <m/>
    <m/>
    <m/>
    <n v="59.199999999999996"/>
    <m/>
    <m/>
    <m/>
    <m/>
    <m/>
    <m/>
    <m/>
    <m/>
    <m/>
    <m/>
    <m/>
    <m/>
    <m/>
    <m/>
    <m/>
    <m/>
    <m/>
    <m/>
    <m/>
  </r>
  <r>
    <x v="19"/>
    <x v="1"/>
    <m/>
    <m/>
    <m/>
    <n v="161.32000000000002"/>
    <m/>
    <m/>
    <m/>
    <m/>
    <m/>
    <m/>
    <m/>
    <m/>
    <m/>
    <m/>
    <m/>
    <m/>
    <m/>
    <m/>
    <m/>
    <m/>
    <m/>
    <m/>
    <m/>
  </r>
  <r>
    <x v="19"/>
    <x v="2"/>
    <m/>
    <m/>
    <m/>
    <n v="155.4"/>
    <m/>
    <m/>
    <m/>
    <m/>
    <m/>
    <m/>
    <m/>
    <m/>
    <m/>
    <m/>
    <m/>
    <m/>
    <m/>
    <m/>
    <m/>
    <m/>
    <m/>
    <m/>
    <m/>
  </r>
  <r>
    <x v="19"/>
    <x v="3"/>
    <m/>
    <m/>
    <m/>
    <n v="152.44"/>
    <m/>
    <m/>
    <m/>
    <m/>
    <m/>
    <m/>
    <m/>
    <m/>
    <m/>
    <m/>
    <m/>
    <m/>
    <m/>
    <m/>
    <m/>
    <m/>
    <m/>
    <m/>
    <m/>
  </r>
  <r>
    <x v="19"/>
    <x v="4"/>
    <m/>
    <m/>
    <m/>
    <n v="149.47999999999999"/>
    <m/>
    <m/>
    <m/>
    <m/>
    <m/>
    <m/>
    <m/>
    <m/>
    <m/>
    <m/>
    <m/>
    <m/>
    <m/>
    <m/>
    <m/>
    <m/>
    <m/>
    <m/>
    <m/>
  </r>
  <r>
    <x v="19"/>
    <x v="5"/>
    <m/>
    <m/>
    <m/>
    <n v="145.04"/>
    <m/>
    <m/>
    <m/>
    <m/>
    <m/>
    <m/>
    <m/>
    <m/>
    <m/>
    <m/>
    <m/>
    <m/>
    <m/>
    <m/>
    <m/>
    <m/>
    <m/>
    <m/>
    <m/>
  </r>
  <r>
    <x v="19"/>
    <x v="6"/>
    <m/>
    <m/>
    <m/>
    <n v="139.12"/>
    <m/>
    <m/>
    <m/>
    <m/>
    <m/>
    <m/>
    <m/>
    <m/>
    <m/>
    <m/>
    <m/>
    <m/>
    <m/>
    <m/>
    <m/>
    <m/>
    <m/>
    <m/>
    <m/>
  </r>
  <r>
    <x v="19"/>
    <x v="7"/>
    <m/>
    <m/>
    <m/>
    <n v="960.68963329741916"/>
    <m/>
    <m/>
    <m/>
    <m/>
    <m/>
    <m/>
    <m/>
    <m/>
    <m/>
    <m/>
    <m/>
    <m/>
    <m/>
    <m/>
    <m/>
    <m/>
    <m/>
    <m/>
    <m/>
  </r>
  <r>
    <x v="19"/>
    <x v="8"/>
    <m/>
    <m/>
    <m/>
    <n v="0"/>
    <m/>
    <m/>
    <m/>
    <m/>
    <m/>
    <m/>
    <m/>
    <m/>
    <m/>
    <m/>
    <m/>
    <m/>
    <m/>
    <m/>
    <m/>
    <m/>
    <m/>
    <m/>
    <m/>
  </r>
  <r>
    <x v="20"/>
    <x v="0"/>
    <m/>
    <m/>
    <m/>
    <n v="938.66666666666663"/>
    <m/>
    <m/>
    <m/>
    <m/>
    <m/>
    <m/>
    <m/>
    <m/>
    <m/>
    <m/>
    <m/>
    <m/>
    <m/>
    <m/>
    <m/>
    <m/>
    <m/>
    <m/>
    <m/>
  </r>
  <r>
    <x v="20"/>
    <x v="1"/>
    <m/>
    <m/>
    <m/>
    <n v="2557.8666666666663"/>
    <m/>
    <m/>
    <m/>
    <m/>
    <m/>
    <m/>
    <m/>
    <m/>
    <m/>
    <m/>
    <m/>
    <m/>
    <m/>
    <m/>
    <m/>
    <m/>
    <m/>
    <m/>
    <m/>
  </r>
  <r>
    <x v="20"/>
    <x v="2"/>
    <m/>
    <m/>
    <m/>
    <n v="2464"/>
    <m/>
    <m/>
    <m/>
    <m/>
    <m/>
    <m/>
    <m/>
    <m/>
    <m/>
    <m/>
    <m/>
    <m/>
    <m/>
    <m/>
    <m/>
    <m/>
    <m/>
    <m/>
    <m/>
  </r>
  <r>
    <x v="20"/>
    <x v="3"/>
    <m/>
    <m/>
    <m/>
    <n v="2417.0666666666666"/>
    <m/>
    <m/>
    <m/>
    <m/>
    <m/>
    <m/>
    <m/>
    <m/>
    <m/>
    <m/>
    <m/>
    <m/>
    <m/>
    <m/>
    <m/>
    <m/>
    <m/>
    <m/>
    <m/>
  </r>
  <r>
    <x v="20"/>
    <x v="4"/>
    <m/>
    <m/>
    <m/>
    <n v="2370.1333333333332"/>
    <m/>
    <m/>
    <m/>
    <m/>
    <m/>
    <m/>
    <m/>
    <m/>
    <m/>
    <m/>
    <m/>
    <m/>
    <m/>
    <m/>
    <m/>
    <m/>
    <m/>
    <m/>
    <m/>
  </r>
  <r>
    <x v="20"/>
    <x v="5"/>
    <m/>
    <m/>
    <m/>
    <n v="2299.7333333333331"/>
    <m/>
    <m/>
    <m/>
    <m/>
    <m/>
    <m/>
    <m/>
    <m/>
    <m/>
    <m/>
    <m/>
    <m/>
    <m/>
    <m/>
    <m/>
    <m/>
    <m/>
    <m/>
    <m/>
  </r>
  <r>
    <x v="20"/>
    <x v="6"/>
    <m/>
    <m/>
    <m/>
    <n v="2205.8666666666663"/>
    <m/>
    <m/>
    <m/>
    <m/>
    <m/>
    <m/>
    <m/>
    <m/>
    <m/>
    <m/>
    <m/>
    <m/>
    <m/>
    <m/>
    <m/>
    <m/>
    <m/>
    <m/>
    <m/>
  </r>
  <r>
    <x v="20"/>
    <x v="7"/>
    <m/>
    <m/>
    <m/>
    <n v="15252.035260860037"/>
    <m/>
    <m/>
    <m/>
    <m/>
    <m/>
    <m/>
    <m/>
    <m/>
    <m/>
    <m/>
    <m/>
    <m/>
    <m/>
    <m/>
    <m/>
    <m/>
    <m/>
    <m/>
    <m/>
  </r>
  <r>
    <x v="20"/>
    <x v="8"/>
    <m/>
    <m/>
    <m/>
    <n v="0"/>
    <m/>
    <m/>
    <m/>
    <m/>
    <m/>
    <m/>
    <m/>
    <m/>
    <m/>
    <m/>
    <m/>
    <m/>
    <m/>
    <m/>
    <m/>
    <m/>
    <m/>
    <m/>
    <m/>
  </r>
  <r>
    <x v="21"/>
    <x v="0"/>
    <m/>
    <m/>
    <m/>
    <n v="100.26666666666667"/>
    <m/>
    <m/>
    <m/>
    <m/>
    <m/>
    <m/>
    <m/>
    <m/>
    <m/>
    <m/>
    <m/>
    <m/>
    <m/>
    <m/>
    <m/>
    <m/>
    <m/>
    <m/>
    <m/>
  </r>
  <r>
    <x v="21"/>
    <x v="1"/>
    <m/>
    <m/>
    <m/>
    <n v="273.22666666666669"/>
    <m/>
    <m/>
    <m/>
    <m/>
    <m/>
    <m/>
    <m/>
    <m/>
    <m/>
    <m/>
    <m/>
    <m/>
    <m/>
    <m/>
    <m/>
    <m/>
    <m/>
    <m/>
    <m/>
  </r>
  <r>
    <x v="21"/>
    <x v="2"/>
    <m/>
    <m/>
    <m/>
    <n v="263.2"/>
    <m/>
    <m/>
    <m/>
    <m/>
    <m/>
    <m/>
    <m/>
    <m/>
    <m/>
    <m/>
    <m/>
    <m/>
    <m/>
    <m/>
    <m/>
    <m/>
    <m/>
    <m/>
    <m/>
  </r>
  <r>
    <x v="21"/>
    <x v="3"/>
    <m/>
    <m/>
    <m/>
    <n v="258.18666666666667"/>
    <m/>
    <m/>
    <m/>
    <m/>
    <m/>
    <m/>
    <m/>
    <m/>
    <m/>
    <m/>
    <m/>
    <m/>
    <m/>
    <m/>
    <m/>
    <m/>
    <m/>
    <m/>
    <m/>
  </r>
  <r>
    <x v="21"/>
    <x v="4"/>
    <m/>
    <m/>
    <m/>
    <n v="253.17333333333332"/>
    <m/>
    <m/>
    <m/>
    <m/>
    <m/>
    <m/>
    <m/>
    <m/>
    <m/>
    <m/>
    <m/>
    <m/>
    <m/>
    <m/>
    <m/>
    <m/>
    <m/>
    <m/>
    <m/>
  </r>
  <r>
    <x v="21"/>
    <x v="5"/>
    <m/>
    <m/>
    <m/>
    <n v="245.65333333333334"/>
    <m/>
    <m/>
    <m/>
    <m/>
    <m/>
    <m/>
    <m/>
    <m/>
    <m/>
    <m/>
    <m/>
    <m/>
    <m/>
    <m/>
    <m/>
    <m/>
    <m/>
    <m/>
    <m/>
  </r>
  <r>
    <x v="21"/>
    <x v="6"/>
    <m/>
    <m/>
    <m/>
    <n v="235.62666666666667"/>
    <m/>
    <m/>
    <m/>
    <m/>
    <m/>
    <m/>
    <m/>
    <m/>
    <m/>
    <m/>
    <m/>
    <m/>
    <m/>
    <m/>
    <m/>
    <m/>
    <m/>
    <m/>
    <m/>
  </r>
  <r>
    <x v="21"/>
    <x v="7"/>
    <m/>
    <m/>
    <m/>
    <n v="1630.8720231175605"/>
    <m/>
    <m/>
    <m/>
    <m/>
    <m/>
    <m/>
    <m/>
    <m/>
    <m/>
    <m/>
    <m/>
    <m/>
    <m/>
    <m/>
    <m/>
    <m/>
    <m/>
    <m/>
    <m/>
  </r>
  <r>
    <x v="21"/>
    <x v="8"/>
    <m/>
    <m/>
    <m/>
    <n v="0"/>
    <m/>
    <m/>
    <m/>
    <m/>
    <m/>
    <m/>
    <m/>
    <m/>
    <m/>
    <m/>
    <m/>
    <m/>
    <m/>
    <m/>
    <m/>
    <m/>
    <m/>
    <m/>
    <m/>
  </r>
  <r>
    <x v="22"/>
    <x v="0"/>
    <m/>
    <m/>
    <m/>
    <n v="493.33333333333331"/>
    <m/>
    <m/>
    <m/>
    <m/>
    <m/>
    <m/>
    <m/>
    <m/>
    <m/>
    <m/>
    <m/>
    <m/>
    <m/>
    <m/>
    <m/>
    <m/>
    <m/>
    <m/>
    <m/>
  </r>
  <r>
    <x v="22"/>
    <x v="1"/>
    <m/>
    <m/>
    <m/>
    <n v="1344.3333333333333"/>
    <m/>
    <m/>
    <m/>
    <m/>
    <m/>
    <m/>
    <m/>
    <m/>
    <m/>
    <m/>
    <m/>
    <m/>
    <m/>
    <m/>
    <m/>
    <m/>
    <m/>
    <m/>
    <m/>
  </r>
  <r>
    <x v="22"/>
    <x v="2"/>
    <m/>
    <m/>
    <m/>
    <n v="1295"/>
    <m/>
    <m/>
    <m/>
    <m/>
    <m/>
    <m/>
    <m/>
    <m/>
    <m/>
    <m/>
    <m/>
    <m/>
    <m/>
    <m/>
    <m/>
    <m/>
    <m/>
    <m/>
    <m/>
  </r>
  <r>
    <x v="22"/>
    <x v="3"/>
    <m/>
    <m/>
    <m/>
    <n v="1270.3333333333333"/>
    <m/>
    <m/>
    <m/>
    <m/>
    <m/>
    <m/>
    <m/>
    <m/>
    <m/>
    <m/>
    <m/>
    <m/>
    <m/>
    <m/>
    <m/>
    <m/>
    <m/>
    <m/>
    <m/>
  </r>
  <r>
    <x v="22"/>
    <x v="4"/>
    <m/>
    <m/>
    <m/>
    <n v="1245.6666666666667"/>
    <m/>
    <m/>
    <m/>
    <m/>
    <m/>
    <m/>
    <m/>
    <m/>
    <m/>
    <m/>
    <m/>
    <m/>
    <m/>
    <m/>
    <m/>
    <m/>
    <m/>
    <m/>
    <m/>
  </r>
  <r>
    <x v="22"/>
    <x v="5"/>
    <m/>
    <m/>
    <m/>
    <n v="1208.6666666666667"/>
    <m/>
    <m/>
    <m/>
    <m/>
    <m/>
    <m/>
    <m/>
    <m/>
    <m/>
    <m/>
    <m/>
    <m/>
    <m/>
    <m/>
    <m/>
    <m/>
    <m/>
    <m/>
    <m/>
  </r>
  <r>
    <x v="22"/>
    <x v="6"/>
    <m/>
    <m/>
    <m/>
    <n v="1159.3333333333333"/>
    <m/>
    <m/>
    <m/>
    <m/>
    <m/>
    <m/>
    <m/>
    <m/>
    <m/>
    <m/>
    <m/>
    <m/>
    <m/>
    <m/>
    <m/>
    <m/>
    <m/>
    <m/>
    <m/>
  </r>
  <r>
    <x v="22"/>
    <x v="7"/>
    <m/>
    <m/>
    <m/>
    <n v="8016.9030523972397"/>
    <m/>
    <m/>
    <m/>
    <m/>
    <m/>
    <m/>
    <m/>
    <m/>
    <m/>
    <m/>
    <m/>
    <m/>
    <m/>
    <m/>
    <m/>
    <m/>
    <m/>
    <m/>
    <m/>
  </r>
  <r>
    <x v="22"/>
    <x v="8"/>
    <m/>
    <m/>
    <m/>
    <n v="0"/>
    <m/>
    <m/>
    <m/>
    <m/>
    <m/>
    <m/>
    <m/>
    <m/>
    <m/>
    <m/>
    <m/>
    <m/>
    <m/>
    <m/>
    <m/>
    <m/>
    <m/>
    <m/>
    <m/>
  </r>
  <r>
    <x v="23"/>
    <x v="0"/>
    <m/>
    <m/>
    <m/>
    <n v="125.33333333333333"/>
    <m/>
    <m/>
    <m/>
    <m/>
    <m/>
    <m/>
    <m/>
    <m/>
    <m/>
    <m/>
    <m/>
    <m/>
    <m/>
    <m/>
    <m/>
    <m/>
    <m/>
    <m/>
    <m/>
  </r>
  <r>
    <x v="23"/>
    <x v="1"/>
    <m/>
    <m/>
    <m/>
    <n v="341.5333333333333"/>
    <m/>
    <m/>
    <m/>
    <m/>
    <m/>
    <m/>
    <m/>
    <m/>
    <m/>
    <m/>
    <m/>
    <m/>
    <m/>
    <m/>
    <m/>
    <m/>
    <m/>
    <m/>
    <m/>
  </r>
  <r>
    <x v="23"/>
    <x v="2"/>
    <m/>
    <m/>
    <m/>
    <n v="329"/>
    <m/>
    <m/>
    <m/>
    <m/>
    <m/>
    <m/>
    <m/>
    <m/>
    <m/>
    <m/>
    <m/>
    <m/>
    <m/>
    <m/>
    <m/>
    <m/>
    <m/>
    <m/>
    <m/>
  </r>
  <r>
    <x v="23"/>
    <x v="3"/>
    <m/>
    <m/>
    <m/>
    <n v="322.73333333333335"/>
    <m/>
    <m/>
    <m/>
    <m/>
    <m/>
    <m/>
    <m/>
    <m/>
    <m/>
    <m/>
    <m/>
    <m/>
    <m/>
    <m/>
    <m/>
    <m/>
    <m/>
    <m/>
    <m/>
  </r>
  <r>
    <x v="23"/>
    <x v="4"/>
    <m/>
    <m/>
    <m/>
    <n v="316.46666666666664"/>
    <m/>
    <m/>
    <m/>
    <m/>
    <m/>
    <m/>
    <m/>
    <m/>
    <m/>
    <m/>
    <m/>
    <m/>
    <m/>
    <m/>
    <m/>
    <m/>
    <m/>
    <m/>
    <m/>
  </r>
  <r>
    <x v="23"/>
    <x v="5"/>
    <m/>
    <m/>
    <m/>
    <n v="307.06666666666666"/>
    <m/>
    <m/>
    <m/>
    <m/>
    <m/>
    <m/>
    <m/>
    <m/>
    <m/>
    <m/>
    <m/>
    <m/>
    <m/>
    <m/>
    <m/>
    <m/>
    <m/>
    <m/>
    <m/>
  </r>
  <r>
    <x v="23"/>
    <x v="6"/>
    <m/>
    <m/>
    <m/>
    <n v="294.53333333333336"/>
    <m/>
    <m/>
    <m/>
    <m/>
    <m/>
    <m/>
    <m/>
    <m/>
    <m/>
    <m/>
    <m/>
    <m/>
    <m/>
    <m/>
    <m/>
    <m/>
    <m/>
    <m/>
    <m/>
  </r>
  <r>
    <x v="23"/>
    <x v="7"/>
    <m/>
    <m/>
    <m/>
    <n v="2040.7374324948487"/>
    <m/>
    <m/>
    <m/>
    <m/>
    <m/>
    <m/>
    <m/>
    <m/>
    <m/>
    <m/>
    <m/>
    <m/>
    <m/>
    <m/>
    <m/>
    <m/>
    <m/>
    <m/>
    <m/>
  </r>
  <r>
    <x v="23"/>
    <x v="8"/>
    <m/>
    <m/>
    <m/>
    <n v="0"/>
    <m/>
    <m/>
    <m/>
    <m/>
    <m/>
    <m/>
    <m/>
    <m/>
    <m/>
    <m/>
    <m/>
    <m/>
    <m/>
    <m/>
    <m/>
    <m/>
    <m/>
    <m/>
    <m/>
  </r>
  <r>
    <x v="24"/>
    <x v="0"/>
    <m/>
    <m/>
    <m/>
    <n v="29.333333333333332"/>
    <m/>
    <m/>
    <m/>
    <m/>
    <m/>
    <m/>
    <m/>
    <m/>
    <m/>
    <m/>
    <m/>
    <m/>
    <m/>
    <m/>
    <m/>
    <m/>
    <m/>
    <m/>
    <m/>
  </r>
  <r>
    <x v="24"/>
    <x v="1"/>
    <m/>
    <m/>
    <m/>
    <n v="79.933333333333323"/>
    <m/>
    <m/>
    <m/>
    <m/>
    <m/>
    <m/>
    <m/>
    <m/>
    <m/>
    <m/>
    <m/>
    <m/>
    <m/>
    <m/>
    <m/>
    <m/>
    <m/>
    <m/>
    <m/>
  </r>
  <r>
    <x v="24"/>
    <x v="2"/>
    <m/>
    <m/>
    <m/>
    <n v="77"/>
    <m/>
    <m/>
    <m/>
    <m/>
    <m/>
    <m/>
    <m/>
    <m/>
    <m/>
    <m/>
    <m/>
    <m/>
    <m/>
    <m/>
    <m/>
    <m/>
    <m/>
    <m/>
    <m/>
  </r>
  <r>
    <x v="24"/>
    <x v="3"/>
    <m/>
    <m/>
    <m/>
    <n v="75.533333333333331"/>
    <m/>
    <m/>
    <m/>
    <m/>
    <m/>
    <m/>
    <m/>
    <m/>
    <m/>
    <m/>
    <m/>
    <m/>
    <m/>
    <m/>
    <m/>
    <m/>
    <m/>
    <m/>
    <m/>
  </r>
  <r>
    <x v="24"/>
    <x v="4"/>
    <m/>
    <m/>
    <m/>
    <n v="74.066666666666663"/>
    <m/>
    <m/>
    <m/>
    <m/>
    <m/>
    <m/>
    <m/>
    <m/>
    <m/>
    <m/>
    <m/>
    <m/>
    <m/>
    <m/>
    <m/>
    <m/>
    <m/>
    <m/>
    <m/>
  </r>
  <r>
    <x v="24"/>
    <x v="5"/>
    <m/>
    <m/>
    <m/>
    <n v="71.86666666666666"/>
    <m/>
    <m/>
    <m/>
    <m/>
    <m/>
    <m/>
    <m/>
    <m/>
    <m/>
    <m/>
    <m/>
    <m/>
    <m/>
    <m/>
    <m/>
    <m/>
    <m/>
    <m/>
    <m/>
  </r>
  <r>
    <x v="24"/>
    <x v="6"/>
    <m/>
    <m/>
    <m/>
    <n v="68.933333333333323"/>
    <m/>
    <m/>
    <m/>
    <m/>
    <m/>
    <m/>
    <m/>
    <m/>
    <m/>
    <m/>
    <m/>
    <m/>
    <m/>
    <m/>
    <m/>
    <m/>
    <m/>
    <m/>
    <m/>
  </r>
  <r>
    <x v="24"/>
    <x v="7"/>
    <m/>
    <m/>
    <m/>
    <n v="476.99531671131058"/>
    <m/>
    <m/>
    <m/>
    <m/>
    <m/>
    <m/>
    <m/>
    <m/>
    <m/>
    <m/>
    <m/>
    <m/>
    <m/>
    <m/>
    <m/>
    <m/>
    <m/>
    <m/>
    <m/>
  </r>
  <r>
    <x v="24"/>
    <x v="8"/>
    <m/>
    <m/>
    <m/>
    <n v="0"/>
    <m/>
    <m/>
    <m/>
    <m/>
    <m/>
    <m/>
    <m/>
    <m/>
    <m/>
    <m/>
    <m/>
    <m/>
    <m/>
    <m/>
    <m/>
    <m/>
    <m/>
    <m/>
    <m/>
  </r>
  <r>
    <x v="25"/>
    <x v="0"/>
    <m/>
    <m/>
    <m/>
    <n v="561.06666666666672"/>
    <m/>
    <m/>
    <m/>
    <m/>
    <m/>
    <m/>
    <m/>
    <m/>
    <m/>
    <m/>
    <m/>
    <m/>
    <m/>
    <m/>
    <m/>
    <m/>
    <m/>
    <m/>
    <m/>
  </r>
  <r>
    <x v="25"/>
    <x v="1"/>
    <m/>
    <m/>
    <m/>
    <n v="1528.9066666666668"/>
    <m/>
    <m/>
    <m/>
    <m/>
    <m/>
    <m/>
    <m/>
    <m/>
    <m/>
    <m/>
    <m/>
    <m/>
    <m/>
    <m/>
    <m/>
    <m/>
    <m/>
    <m/>
    <m/>
  </r>
  <r>
    <x v="25"/>
    <x v="2"/>
    <m/>
    <m/>
    <m/>
    <n v="1472.8"/>
    <m/>
    <m/>
    <m/>
    <m/>
    <m/>
    <m/>
    <m/>
    <m/>
    <m/>
    <m/>
    <m/>
    <m/>
    <m/>
    <m/>
    <m/>
    <m/>
    <m/>
    <m/>
    <m/>
  </r>
  <r>
    <x v="25"/>
    <x v="3"/>
    <m/>
    <m/>
    <m/>
    <n v="1444.7466666666667"/>
    <m/>
    <m/>
    <m/>
    <m/>
    <m/>
    <m/>
    <m/>
    <m/>
    <m/>
    <m/>
    <m/>
    <m/>
    <m/>
    <m/>
    <m/>
    <m/>
    <m/>
    <m/>
    <m/>
  </r>
  <r>
    <x v="25"/>
    <x v="4"/>
    <m/>
    <m/>
    <m/>
    <n v="1416.6933333333334"/>
    <m/>
    <m/>
    <m/>
    <m/>
    <m/>
    <m/>
    <m/>
    <m/>
    <m/>
    <m/>
    <m/>
    <m/>
    <m/>
    <m/>
    <m/>
    <m/>
    <m/>
    <m/>
    <m/>
  </r>
  <r>
    <x v="25"/>
    <x v="5"/>
    <m/>
    <m/>
    <m/>
    <n v="1374.6133333333335"/>
    <m/>
    <m/>
    <m/>
    <m/>
    <m/>
    <m/>
    <m/>
    <m/>
    <m/>
    <m/>
    <m/>
    <m/>
    <m/>
    <m/>
    <m/>
    <m/>
    <m/>
    <m/>
    <m/>
  </r>
  <r>
    <x v="25"/>
    <x v="6"/>
    <m/>
    <m/>
    <m/>
    <n v="1318.5066666666667"/>
    <m/>
    <m/>
    <m/>
    <m/>
    <m/>
    <m/>
    <m/>
    <m/>
    <m/>
    <m/>
    <m/>
    <m/>
    <m/>
    <m/>
    <m/>
    <m/>
    <m/>
    <m/>
    <m/>
  </r>
  <r>
    <x v="25"/>
    <x v="7"/>
    <m/>
    <m/>
    <m/>
    <n v="9117.0461741586387"/>
    <m/>
    <m/>
    <m/>
    <m/>
    <m/>
    <m/>
    <m/>
    <m/>
    <m/>
    <m/>
    <m/>
    <m/>
    <m/>
    <m/>
    <m/>
    <m/>
    <m/>
    <m/>
    <m/>
  </r>
  <r>
    <x v="25"/>
    <x v="8"/>
    <m/>
    <m/>
    <m/>
    <n v="0"/>
    <m/>
    <m/>
    <m/>
    <m/>
    <m/>
    <m/>
    <m/>
    <m/>
    <m/>
    <m/>
    <m/>
    <m/>
    <m/>
    <m/>
    <m/>
    <m/>
    <m/>
    <m/>
    <m/>
  </r>
  <r>
    <x v="26"/>
    <x v="0"/>
    <m/>
    <m/>
    <m/>
    <n v="33.06666666666667"/>
    <m/>
    <m/>
    <m/>
    <m/>
    <m/>
    <m/>
    <m/>
    <m/>
    <m/>
    <m/>
    <m/>
    <m/>
    <m/>
    <m/>
    <m/>
    <m/>
    <m/>
    <m/>
    <m/>
  </r>
  <r>
    <x v="26"/>
    <x v="1"/>
    <m/>
    <m/>
    <m/>
    <n v="90.106666666666669"/>
    <m/>
    <m/>
    <m/>
    <m/>
    <m/>
    <m/>
    <m/>
    <m/>
    <m/>
    <m/>
    <m/>
    <m/>
    <m/>
    <m/>
    <m/>
    <m/>
    <m/>
    <m/>
    <m/>
  </r>
  <r>
    <x v="26"/>
    <x v="2"/>
    <m/>
    <m/>
    <m/>
    <n v="86.8"/>
    <m/>
    <m/>
    <m/>
    <m/>
    <m/>
    <m/>
    <m/>
    <m/>
    <m/>
    <m/>
    <m/>
    <m/>
    <m/>
    <m/>
    <m/>
    <m/>
    <m/>
    <m/>
    <m/>
  </r>
  <r>
    <x v="26"/>
    <x v="3"/>
    <m/>
    <m/>
    <m/>
    <n v="85.146666666666661"/>
    <m/>
    <m/>
    <m/>
    <m/>
    <m/>
    <m/>
    <m/>
    <m/>
    <m/>
    <m/>
    <m/>
    <m/>
    <m/>
    <m/>
    <m/>
    <m/>
    <m/>
    <m/>
    <m/>
  </r>
  <r>
    <x v="26"/>
    <x v="4"/>
    <m/>
    <m/>
    <m/>
    <n v="83.493333333333325"/>
    <m/>
    <m/>
    <m/>
    <m/>
    <m/>
    <m/>
    <m/>
    <m/>
    <m/>
    <m/>
    <m/>
    <m/>
    <m/>
    <m/>
    <m/>
    <m/>
    <m/>
    <m/>
    <m/>
  </r>
  <r>
    <x v="26"/>
    <x v="5"/>
    <m/>
    <m/>
    <m/>
    <n v="81.013333333333335"/>
    <m/>
    <m/>
    <m/>
    <m/>
    <m/>
    <m/>
    <m/>
    <m/>
    <m/>
    <m/>
    <m/>
    <m/>
    <m/>
    <m/>
    <m/>
    <m/>
    <m/>
    <m/>
    <m/>
  </r>
  <r>
    <x v="26"/>
    <x v="6"/>
    <m/>
    <m/>
    <m/>
    <n v="77.706666666666663"/>
    <m/>
    <m/>
    <m/>
    <m/>
    <m/>
    <m/>
    <m/>
    <m/>
    <m/>
    <m/>
    <m/>
    <m/>
    <m/>
    <m/>
    <m/>
    <m/>
    <m/>
    <m/>
    <m/>
  </r>
  <r>
    <x v="26"/>
    <x v="7"/>
    <m/>
    <m/>
    <m/>
    <n v="533.88830805384725"/>
    <m/>
    <m/>
    <m/>
    <m/>
    <m/>
    <m/>
    <m/>
    <m/>
    <m/>
    <m/>
    <m/>
    <m/>
    <m/>
    <m/>
    <m/>
    <m/>
    <m/>
    <m/>
    <m/>
  </r>
  <r>
    <x v="26"/>
    <x v="8"/>
    <m/>
    <m/>
    <m/>
    <n v="0"/>
    <m/>
    <m/>
    <m/>
    <m/>
    <m/>
    <m/>
    <m/>
    <m/>
    <m/>
    <m/>
    <m/>
    <m/>
    <m/>
    <m/>
    <m/>
    <m/>
    <m/>
    <m/>
    <m/>
  </r>
  <r>
    <x v="27"/>
    <x v="0"/>
    <m/>
    <m/>
    <m/>
    <n v="5351.4666666666672"/>
    <m/>
    <m/>
    <m/>
    <m/>
    <m/>
    <m/>
    <m/>
    <m/>
    <m/>
    <m/>
    <m/>
    <m/>
    <m/>
    <m/>
    <m/>
    <m/>
    <m/>
    <m/>
    <m/>
  </r>
  <r>
    <x v="27"/>
    <x v="1"/>
    <m/>
    <m/>
    <m/>
    <n v="14582.746666666668"/>
    <m/>
    <m/>
    <m/>
    <m/>
    <m/>
    <m/>
    <m/>
    <m/>
    <m/>
    <m/>
    <m/>
    <m/>
    <m/>
    <m/>
    <m/>
    <m/>
    <m/>
    <m/>
    <m/>
  </r>
  <r>
    <x v="27"/>
    <x v="2"/>
    <m/>
    <m/>
    <m/>
    <n v="14047.6"/>
    <m/>
    <m/>
    <m/>
    <m/>
    <m/>
    <m/>
    <m/>
    <m/>
    <m/>
    <m/>
    <m/>
    <m/>
    <m/>
    <m/>
    <m/>
    <m/>
    <m/>
    <m/>
    <m/>
  </r>
  <r>
    <x v="27"/>
    <x v="3"/>
    <m/>
    <m/>
    <m/>
    <n v="13780.026666666668"/>
    <m/>
    <m/>
    <m/>
    <m/>
    <m/>
    <m/>
    <m/>
    <m/>
    <m/>
    <m/>
    <m/>
    <m/>
    <m/>
    <m/>
    <m/>
    <m/>
    <m/>
    <m/>
    <m/>
  </r>
  <r>
    <x v="27"/>
    <x v="4"/>
    <m/>
    <m/>
    <m/>
    <n v="13512.453333333338"/>
    <m/>
    <m/>
    <m/>
    <m/>
    <m/>
    <m/>
    <m/>
    <m/>
    <m/>
    <m/>
    <m/>
    <m/>
    <m/>
    <m/>
    <m/>
    <m/>
    <m/>
    <m/>
    <m/>
  </r>
  <r>
    <x v="27"/>
    <x v="5"/>
    <m/>
    <m/>
    <m/>
    <n v="13111.093333333331"/>
    <m/>
    <m/>
    <m/>
    <m/>
    <m/>
    <m/>
    <m/>
    <m/>
    <m/>
    <m/>
    <m/>
    <m/>
    <m/>
    <m/>
    <m/>
    <m/>
    <m/>
    <m/>
    <m/>
  </r>
  <r>
    <x v="27"/>
    <x v="6"/>
    <m/>
    <m/>
    <m/>
    <n v="12575.946666666667"/>
    <m/>
    <m/>
    <m/>
    <m/>
    <m/>
    <m/>
    <m/>
    <m/>
    <m/>
    <m/>
    <m/>
    <m/>
    <m/>
    <m/>
    <m/>
    <m/>
    <m/>
    <m/>
    <m/>
  </r>
  <r>
    <x v="27"/>
    <x v="7"/>
    <m/>
    <m/>
    <m/>
    <n v="86666.666666666642"/>
    <m/>
    <m/>
    <m/>
    <m/>
    <m/>
    <m/>
    <m/>
    <m/>
    <m/>
    <m/>
    <m/>
    <m/>
    <m/>
    <m/>
    <m/>
    <m/>
    <m/>
    <m/>
    <m/>
  </r>
  <r>
    <x v="27"/>
    <x v="8"/>
    <m/>
    <m/>
    <m/>
    <n v="0"/>
    <m/>
    <m/>
    <m/>
    <m/>
    <m/>
    <m/>
    <m/>
    <m/>
    <m/>
    <m/>
    <m/>
    <m/>
    <m/>
    <m/>
    <m/>
    <m/>
    <m/>
    <m/>
    <m/>
  </r>
  <r>
    <x v="0"/>
    <x v="1"/>
    <m/>
    <m/>
    <m/>
    <m/>
    <n v="272.73882513802789"/>
    <m/>
    <m/>
    <m/>
    <m/>
    <m/>
    <m/>
    <m/>
    <m/>
    <m/>
    <m/>
    <m/>
    <m/>
    <m/>
    <m/>
    <m/>
    <m/>
    <m/>
    <m/>
  </r>
  <r>
    <x v="0"/>
    <x v="2"/>
    <m/>
    <m/>
    <m/>
    <m/>
    <n v="995.97283751894395"/>
    <m/>
    <m/>
    <m/>
    <m/>
    <m/>
    <m/>
    <m/>
    <m/>
    <m/>
    <m/>
    <m/>
    <m/>
    <m/>
    <m/>
    <m/>
    <m/>
    <m/>
    <m/>
  </r>
  <r>
    <x v="0"/>
    <x v="3"/>
    <m/>
    <m/>
    <m/>
    <m/>
    <n v="1342.9587772216437"/>
    <m/>
    <m/>
    <m/>
    <m/>
    <m/>
    <m/>
    <m/>
    <m/>
    <m/>
    <m/>
    <m/>
    <m/>
    <m/>
    <m/>
    <m/>
    <m/>
    <m/>
    <m/>
  </r>
  <r>
    <x v="0"/>
    <x v="4"/>
    <m/>
    <m/>
    <m/>
    <m/>
    <n v="1313.4338219820745"/>
    <m/>
    <m/>
    <m/>
    <m/>
    <m/>
    <m/>
    <m/>
    <m/>
    <m/>
    <m/>
    <m/>
    <m/>
    <m/>
    <m/>
    <m/>
    <m/>
    <m/>
    <m/>
  </r>
  <r>
    <x v="0"/>
    <x v="5"/>
    <m/>
    <m/>
    <m/>
    <m/>
    <n v="1447.1776592767546"/>
    <m/>
    <m/>
    <m/>
    <m/>
    <m/>
    <m/>
    <m/>
    <m/>
    <m/>
    <m/>
    <m/>
    <m/>
    <m/>
    <m/>
    <m/>
    <m/>
    <m/>
    <m/>
  </r>
  <r>
    <x v="0"/>
    <x v="6"/>
    <m/>
    <m/>
    <m/>
    <m/>
    <n v="1049.057138166462"/>
    <m/>
    <m/>
    <m/>
    <m/>
    <m/>
    <m/>
    <m/>
    <m/>
    <m/>
    <m/>
    <m/>
    <m/>
    <m/>
    <m/>
    <m/>
    <m/>
    <m/>
    <m/>
  </r>
  <r>
    <x v="0"/>
    <x v="7"/>
    <m/>
    <m/>
    <m/>
    <m/>
    <n v="6409.3126415481411"/>
    <m/>
    <m/>
    <m/>
    <m/>
    <m/>
    <m/>
    <m/>
    <m/>
    <m/>
    <m/>
    <m/>
    <m/>
    <m/>
    <m/>
    <m/>
    <m/>
    <m/>
    <m/>
  </r>
  <r>
    <x v="1"/>
    <x v="1"/>
    <m/>
    <m/>
    <m/>
    <m/>
    <n v="345.68750907991921"/>
    <m/>
    <m/>
    <m/>
    <m/>
    <m/>
    <m/>
    <m/>
    <m/>
    <m/>
    <m/>
    <m/>
    <m/>
    <m/>
    <m/>
    <m/>
    <m/>
    <m/>
    <m/>
  </r>
  <r>
    <x v="1"/>
    <x v="2"/>
    <m/>
    <m/>
    <m/>
    <m/>
    <n v="1386.537069796422"/>
    <m/>
    <m/>
    <m/>
    <m/>
    <m/>
    <m/>
    <m/>
    <m/>
    <m/>
    <m/>
    <m/>
    <m/>
    <m/>
    <m/>
    <m/>
    <m/>
    <m/>
    <m/>
  </r>
  <r>
    <x v="1"/>
    <x v="3"/>
    <m/>
    <m/>
    <m/>
    <m/>
    <n v="1885.939691994776"/>
    <m/>
    <m/>
    <m/>
    <m/>
    <m/>
    <m/>
    <m/>
    <m/>
    <m/>
    <m/>
    <m/>
    <m/>
    <m/>
    <m/>
    <m/>
    <m/>
    <m/>
    <m/>
  </r>
  <r>
    <x v="1"/>
    <x v="4"/>
    <m/>
    <m/>
    <m/>
    <m/>
    <n v="1844.3652371616495"/>
    <m/>
    <m/>
    <m/>
    <m/>
    <m/>
    <m/>
    <m/>
    <m/>
    <m/>
    <m/>
    <m/>
    <m/>
    <m/>
    <m/>
    <m/>
    <m/>
    <m/>
    <m/>
  </r>
  <r>
    <x v="1"/>
    <x v="5"/>
    <m/>
    <m/>
    <m/>
    <m/>
    <n v="2037.8018264676828"/>
    <m/>
    <m/>
    <m/>
    <m/>
    <m/>
    <m/>
    <m/>
    <m/>
    <m/>
    <m/>
    <m/>
    <m/>
    <m/>
    <m/>
    <m/>
    <m/>
    <m/>
    <m/>
  </r>
  <r>
    <x v="1"/>
    <x v="6"/>
    <m/>
    <m/>
    <m/>
    <m/>
    <n v="1467.4706591016961"/>
    <m/>
    <m/>
    <m/>
    <m/>
    <m/>
    <m/>
    <m/>
    <m/>
    <m/>
    <m/>
    <m/>
    <m/>
    <m/>
    <m/>
    <m/>
    <m/>
    <m/>
    <m/>
  </r>
  <r>
    <x v="1"/>
    <x v="7"/>
    <m/>
    <m/>
    <m/>
    <m/>
    <n v="8933.0587014890352"/>
    <m/>
    <m/>
    <m/>
    <m/>
    <m/>
    <m/>
    <m/>
    <m/>
    <m/>
    <m/>
    <m/>
    <m/>
    <m/>
    <m/>
    <m/>
    <m/>
    <m/>
    <m/>
  </r>
  <r>
    <x v="2"/>
    <x v="1"/>
    <m/>
    <m/>
    <m/>
    <m/>
    <n v="0"/>
    <m/>
    <m/>
    <m/>
    <m/>
    <m/>
    <m/>
    <m/>
    <m/>
    <m/>
    <m/>
    <m/>
    <m/>
    <m/>
    <m/>
    <m/>
    <m/>
    <m/>
    <m/>
  </r>
  <r>
    <x v="2"/>
    <x v="2"/>
    <m/>
    <m/>
    <m/>
    <m/>
    <n v="213.99618536486929"/>
    <m/>
    <m/>
    <m/>
    <m/>
    <m/>
    <m/>
    <m/>
    <m/>
    <m/>
    <m/>
    <m/>
    <m/>
    <m/>
    <m/>
    <m/>
    <m/>
    <m/>
    <m/>
  </r>
  <r>
    <x v="2"/>
    <x v="3"/>
    <m/>
    <m/>
    <m/>
    <m/>
    <n v="334.17595116358899"/>
    <m/>
    <m/>
    <m/>
    <m/>
    <m/>
    <m/>
    <m/>
    <m/>
    <m/>
    <m/>
    <m/>
    <m/>
    <m/>
    <m/>
    <m/>
    <m/>
    <m/>
    <m/>
  </r>
  <r>
    <x v="2"/>
    <x v="4"/>
    <m/>
    <m/>
    <m/>
    <m/>
    <n v="326.51634511404387"/>
    <m/>
    <m/>
    <m/>
    <m/>
    <m/>
    <m/>
    <m/>
    <m/>
    <m/>
    <m/>
    <m/>
    <m/>
    <m/>
    <m/>
    <m/>
    <m/>
    <m/>
    <m/>
  </r>
  <r>
    <x v="2"/>
    <x v="5"/>
    <m/>
    <m/>
    <m/>
    <m/>
    <n v="375.47513568433448"/>
    <m/>
    <m/>
    <m/>
    <m/>
    <m/>
    <m/>
    <m/>
    <m/>
    <m/>
    <m/>
    <m/>
    <m/>
    <m/>
    <m/>
    <m/>
    <m/>
    <m/>
    <m/>
  </r>
  <r>
    <x v="2"/>
    <x v="6"/>
    <m/>
    <m/>
    <m/>
    <m/>
    <n v="245.02891276676354"/>
    <m/>
    <m/>
    <m/>
    <m/>
    <m/>
    <m/>
    <m/>
    <m/>
    <m/>
    <m/>
    <m/>
    <m/>
    <m/>
    <m/>
    <m/>
    <m/>
    <m/>
    <m/>
  </r>
  <r>
    <x v="2"/>
    <x v="7"/>
    <m/>
    <m/>
    <m/>
    <m/>
    <n v="1408.5635141939183"/>
    <m/>
    <m/>
    <m/>
    <m/>
    <m/>
    <m/>
    <m/>
    <m/>
    <m/>
    <m/>
    <m/>
    <m/>
    <m/>
    <m/>
    <m/>
    <m/>
    <m/>
    <m/>
  </r>
  <r>
    <x v="3"/>
    <x v="1"/>
    <m/>
    <m/>
    <m/>
    <m/>
    <n v="6.9799143857276107"/>
    <m/>
    <m/>
    <m/>
    <m/>
    <m/>
    <m/>
    <m/>
    <m/>
    <m/>
    <m/>
    <m/>
    <m/>
    <m/>
    <m/>
    <m/>
    <m/>
    <m/>
    <m/>
  </r>
  <r>
    <x v="3"/>
    <x v="2"/>
    <m/>
    <m/>
    <m/>
    <m/>
    <n v="192.91313209638187"/>
    <m/>
    <m/>
    <m/>
    <m/>
    <m/>
    <m/>
    <m/>
    <m/>
    <m/>
    <m/>
    <m/>
    <m/>
    <m/>
    <m/>
    <m/>
    <m/>
    <m/>
    <m/>
  </r>
  <r>
    <x v="3"/>
    <x v="3"/>
    <m/>
    <m/>
    <m/>
    <m/>
    <n v="282.16453363940707"/>
    <m/>
    <m/>
    <m/>
    <m/>
    <m/>
    <m/>
    <m/>
    <m/>
    <m/>
    <m/>
    <m/>
    <m/>
    <m/>
    <m/>
    <m/>
    <m/>
    <m/>
    <m/>
  </r>
  <r>
    <x v="3"/>
    <x v="4"/>
    <m/>
    <m/>
    <m/>
    <m/>
    <n v="275.81005223321426"/>
    <m/>
    <m/>
    <m/>
    <m/>
    <m/>
    <m/>
    <m/>
    <m/>
    <m/>
    <m/>
    <m/>
    <m/>
    <m/>
    <m/>
    <m/>
    <m/>
    <m/>
    <m/>
  </r>
  <r>
    <x v="3"/>
    <x v="5"/>
    <m/>
    <m/>
    <m/>
    <m/>
    <n v="311.48508776172719"/>
    <m/>
    <m/>
    <m/>
    <m/>
    <m/>
    <m/>
    <m/>
    <m/>
    <m/>
    <m/>
    <m/>
    <m/>
    <m/>
    <m/>
    <m/>
    <m/>
    <m/>
    <m/>
  </r>
  <r>
    <x v="3"/>
    <x v="6"/>
    <m/>
    <m/>
    <m/>
    <m/>
    <n v="212.67730139074925"/>
    <m/>
    <m/>
    <m/>
    <m/>
    <m/>
    <m/>
    <m/>
    <m/>
    <m/>
    <m/>
    <m/>
    <m/>
    <m/>
    <m/>
    <m/>
    <m/>
    <m/>
    <m/>
  </r>
  <r>
    <x v="3"/>
    <x v="7"/>
    <m/>
    <m/>
    <m/>
    <m/>
    <n v="1255.4727218323508"/>
    <m/>
    <m/>
    <m/>
    <m/>
    <m/>
    <m/>
    <m/>
    <m/>
    <m/>
    <m/>
    <m/>
    <m/>
    <m/>
    <m/>
    <m/>
    <m/>
    <m/>
    <m/>
  </r>
  <r>
    <x v="4"/>
    <x v="1"/>
    <m/>
    <m/>
    <m/>
    <m/>
    <n v="14.644447614033915"/>
    <m/>
    <m/>
    <m/>
    <m/>
    <m/>
    <m/>
    <m/>
    <m/>
    <m/>
    <m/>
    <m/>
    <m/>
    <m/>
    <m/>
    <m/>
    <m/>
    <m/>
    <m/>
  </r>
  <r>
    <x v="4"/>
    <x v="2"/>
    <m/>
    <m/>
    <m/>
    <m/>
    <n v="66.769956872191855"/>
    <m/>
    <m/>
    <m/>
    <m/>
    <m/>
    <m/>
    <m/>
    <m/>
    <m/>
    <m/>
    <m/>
    <m/>
    <m/>
    <m/>
    <m/>
    <m/>
    <m/>
    <m/>
  </r>
  <r>
    <x v="4"/>
    <x v="3"/>
    <m/>
    <m/>
    <m/>
    <m/>
    <n v="91.781879892460267"/>
    <m/>
    <m/>
    <m/>
    <m/>
    <m/>
    <m/>
    <m/>
    <m/>
    <m/>
    <m/>
    <m/>
    <m/>
    <m/>
    <m/>
    <m/>
    <m/>
    <m/>
    <m/>
  </r>
  <r>
    <x v="4"/>
    <x v="4"/>
    <m/>
    <m/>
    <m/>
    <m/>
    <n v="89.752059250506534"/>
    <m/>
    <m/>
    <m/>
    <m/>
    <m/>
    <m/>
    <m/>
    <m/>
    <m/>
    <m/>
    <m/>
    <m/>
    <m/>
    <m/>
    <m/>
    <m/>
    <m/>
    <m/>
  </r>
  <r>
    <x v="4"/>
    <x v="5"/>
    <m/>
    <m/>
    <m/>
    <m/>
    <n v="99.493879848330579"/>
    <m/>
    <m/>
    <m/>
    <m/>
    <m/>
    <m/>
    <m/>
    <m/>
    <m/>
    <m/>
    <m/>
    <m/>
    <m/>
    <m/>
    <m/>
    <m/>
    <m/>
    <m/>
  </r>
  <r>
    <x v="4"/>
    <x v="6"/>
    <m/>
    <m/>
    <m/>
    <m/>
    <n v="71.08152883078651"/>
    <m/>
    <m/>
    <m/>
    <m/>
    <m/>
    <m/>
    <m/>
    <m/>
    <m/>
    <m/>
    <m/>
    <m/>
    <m/>
    <m/>
    <m/>
    <m/>
    <m/>
    <m/>
  </r>
  <r>
    <x v="4"/>
    <x v="7"/>
    <m/>
    <m/>
    <m/>
    <m/>
    <n v="430.48278319782571"/>
    <m/>
    <m/>
    <m/>
    <m/>
    <m/>
    <m/>
    <m/>
    <m/>
    <m/>
    <m/>
    <m/>
    <m/>
    <m/>
    <m/>
    <m/>
    <m/>
    <m/>
    <m/>
  </r>
  <r>
    <x v="5"/>
    <x v="1"/>
    <m/>
    <m/>
    <m/>
    <m/>
    <n v="202.12571488166719"/>
    <m/>
    <m/>
    <m/>
    <m/>
    <m/>
    <m/>
    <m/>
    <m/>
    <m/>
    <m/>
    <m/>
    <m/>
    <m/>
    <m/>
    <m/>
    <m/>
    <m/>
    <m/>
  </r>
  <r>
    <x v="5"/>
    <x v="2"/>
    <m/>
    <m/>
    <m/>
    <m/>
    <n v="890.09676365186817"/>
    <m/>
    <m/>
    <m/>
    <m/>
    <m/>
    <m/>
    <m/>
    <m/>
    <m/>
    <m/>
    <m/>
    <m/>
    <m/>
    <m/>
    <m/>
    <m/>
    <m/>
    <m/>
  </r>
  <r>
    <x v="5"/>
    <x v="3"/>
    <m/>
    <m/>
    <m/>
    <m/>
    <n v="1220.2065625697721"/>
    <m/>
    <m/>
    <m/>
    <m/>
    <m/>
    <m/>
    <m/>
    <m/>
    <m/>
    <m/>
    <m/>
    <m/>
    <m/>
    <m/>
    <m/>
    <m/>
    <m/>
    <m/>
  </r>
  <r>
    <x v="5"/>
    <x v="4"/>
    <m/>
    <m/>
    <m/>
    <m/>
    <n v="1193.2431557853756"/>
    <m/>
    <m/>
    <m/>
    <m/>
    <m/>
    <m/>
    <m/>
    <m/>
    <m/>
    <m/>
    <m/>
    <m/>
    <m/>
    <m/>
    <m/>
    <m/>
    <m/>
    <m/>
  </r>
  <r>
    <x v="5"/>
    <x v="5"/>
    <m/>
    <m/>
    <m/>
    <m/>
    <n v="1321.6383028313517"/>
    <m/>
    <m/>
    <m/>
    <m/>
    <m/>
    <m/>
    <m/>
    <m/>
    <m/>
    <m/>
    <m/>
    <m/>
    <m/>
    <m/>
    <m/>
    <m/>
    <m/>
    <m/>
  </r>
  <r>
    <x v="5"/>
    <x v="6"/>
    <m/>
    <m/>
    <m/>
    <m/>
    <n v="946.14568194092112"/>
    <m/>
    <m/>
    <m/>
    <m/>
    <m/>
    <m/>
    <m/>
    <m/>
    <m/>
    <m/>
    <m/>
    <m/>
    <m/>
    <m/>
    <m/>
    <m/>
    <m/>
    <m/>
  </r>
  <r>
    <x v="5"/>
    <x v="7"/>
    <m/>
    <m/>
    <m/>
    <m/>
    <n v="5740.9113571966445"/>
    <m/>
    <m/>
    <m/>
    <m/>
    <m/>
    <m/>
    <m/>
    <m/>
    <m/>
    <m/>
    <m/>
    <m/>
    <m/>
    <m/>
    <m/>
    <m/>
    <m/>
    <m/>
  </r>
  <r>
    <x v="6"/>
    <x v="1"/>
    <m/>
    <m/>
    <m/>
    <m/>
    <n v="118.0115947307031"/>
    <m/>
    <m/>
    <m/>
    <m/>
    <m/>
    <m/>
    <m/>
    <m/>
    <m/>
    <m/>
    <m/>
    <m/>
    <m/>
    <m/>
    <m/>
    <m/>
    <m/>
    <m/>
  </r>
  <r>
    <x v="6"/>
    <x v="2"/>
    <m/>
    <m/>
    <m/>
    <m/>
    <n v="440.98259205432038"/>
    <m/>
    <m/>
    <m/>
    <m/>
    <m/>
    <m/>
    <m/>
    <m/>
    <m/>
    <m/>
    <m/>
    <m/>
    <m/>
    <m/>
    <m/>
    <m/>
    <m/>
    <m/>
  </r>
  <r>
    <x v="6"/>
    <x v="3"/>
    <m/>
    <m/>
    <m/>
    <m/>
    <n v="595.93713936075824"/>
    <m/>
    <m/>
    <m/>
    <m/>
    <m/>
    <m/>
    <m/>
    <m/>
    <m/>
    <m/>
    <m/>
    <m/>
    <m/>
    <m/>
    <m/>
    <m/>
    <m/>
    <m/>
  </r>
  <r>
    <x v="6"/>
    <x v="4"/>
    <m/>
    <m/>
    <m/>
    <m/>
    <n v="582.82640299888374"/>
    <m/>
    <m/>
    <m/>
    <m/>
    <m/>
    <m/>
    <m/>
    <m/>
    <m/>
    <m/>
    <m/>
    <m/>
    <m/>
    <m/>
    <m/>
    <m/>
    <m/>
    <m/>
  </r>
  <r>
    <x v="6"/>
    <x v="5"/>
    <m/>
    <m/>
    <m/>
    <m/>
    <n v="642.62911681484866"/>
    <m/>
    <m/>
    <m/>
    <m/>
    <m/>
    <m/>
    <m/>
    <m/>
    <m/>
    <m/>
    <m/>
    <m/>
    <m/>
    <m/>
    <m/>
    <m/>
    <m/>
    <m/>
  </r>
  <r>
    <x v="6"/>
    <x v="6"/>
    <m/>
    <m/>
    <m/>
    <m/>
    <n v="465.05479049558647"/>
    <m/>
    <m/>
    <m/>
    <m/>
    <m/>
    <m/>
    <m/>
    <m/>
    <m/>
    <m/>
    <m/>
    <m/>
    <m/>
    <m/>
    <m/>
    <m/>
    <m/>
    <m/>
  </r>
  <r>
    <x v="6"/>
    <x v="7"/>
    <m/>
    <m/>
    <m/>
    <m/>
    <n v="2838.7697989739086"/>
    <m/>
    <m/>
    <m/>
    <m/>
    <m/>
    <m/>
    <m/>
    <m/>
    <m/>
    <m/>
    <m/>
    <m/>
    <m/>
    <m/>
    <m/>
    <m/>
    <m/>
    <m/>
  </r>
  <r>
    <x v="7"/>
    <x v="1"/>
    <m/>
    <m/>
    <m/>
    <m/>
    <n v="18.838067744739909"/>
    <m/>
    <m/>
    <m/>
    <m/>
    <m/>
    <m/>
    <m/>
    <m/>
    <m/>
    <m/>
    <m/>
    <m/>
    <m/>
    <m/>
    <m/>
    <m/>
    <m/>
    <m/>
  </r>
  <r>
    <x v="7"/>
    <x v="2"/>
    <m/>
    <m/>
    <m/>
    <m/>
    <n v="88.748342772564243"/>
    <m/>
    <m/>
    <m/>
    <m/>
    <m/>
    <m/>
    <m/>
    <m/>
    <m/>
    <m/>
    <m/>
    <m/>
    <m/>
    <m/>
    <m/>
    <m/>
    <m/>
    <m/>
  </r>
  <r>
    <x v="7"/>
    <x v="3"/>
    <m/>
    <m/>
    <m/>
    <m/>
    <n v="122.29470211917389"/>
    <m/>
    <m/>
    <m/>
    <m/>
    <m/>
    <m/>
    <m/>
    <m/>
    <m/>
    <m/>
    <m/>
    <m/>
    <m/>
    <m/>
    <m/>
    <m/>
    <m/>
    <m/>
  </r>
  <r>
    <x v="7"/>
    <x v="4"/>
    <m/>
    <m/>
    <m/>
    <m/>
    <n v="119.5880426588498"/>
    <m/>
    <m/>
    <m/>
    <m/>
    <m/>
    <m/>
    <m/>
    <m/>
    <m/>
    <m/>
    <m/>
    <m/>
    <m/>
    <m/>
    <m/>
    <m/>
    <m/>
    <m/>
  </r>
  <r>
    <x v="7"/>
    <x v="5"/>
    <m/>
    <m/>
    <m/>
    <m/>
    <n v="132.67010983862119"/>
    <m/>
    <m/>
    <m/>
    <m/>
    <m/>
    <m/>
    <m/>
    <m/>
    <m/>
    <m/>
    <m/>
    <m/>
    <m/>
    <m/>
    <m/>
    <m/>
    <m/>
    <m/>
  </r>
  <r>
    <x v="7"/>
    <x v="6"/>
    <m/>
    <m/>
    <m/>
    <m/>
    <n v="94.608776241068199"/>
    <m/>
    <m/>
    <m/>
    <m/>
    <m/>
    <m/>
    <m/>
    <m/>
    <m/>
    <m/>
    <m/>
    <m/>
    <m/>
    <m/>
    <m/>
    <m/>
    <m/>
    <m/>
  </r>
  <r>
    <x v="7"/>
    <x v="7"/>
    <m/>
    <m/>
    <m/>
    <m/>
    <n v="573.63318444897982"/>
    <m/>
    <m/>
    <m/>
    <m/>
    <m/>
    <m/>
    <m/>
    <m/>
    <m/>
    <m/>
    <m/>
    <m/>
    <m/>
    <m/>
    <m/>
    <m/>
    <m/>
    <m/>
  </r>
  <r>
    <x v="8"/>
    <x v="1"/>
    <m/>
    <m/>
    <m/>
    <m/>
    <n v="101.77326844940116"/>
    <m/>
    <m/>
    <m/>
    <m/>
    <m/>
    <m/>
    <m/>
    <m/>
    <m/>
    <m/>
    <m/>
    <m/>
    <m/>
    <m/>
    <m/>
    <m/>
    <m/>
    <m/>
  </r>
  <r>
    <x v="8"/>
    <x v="2"/>
    <m/>
    <m/>
    <m/>
    <m/>
    <n v="420.36898725473884"/>
    <m/>
    <m/>
    <m/>
    <m/>
    <m/>
    <m/>
    <m/>
    <m/>
    <m/>
    <m/>
    <m/>
    <m/>
    <m/>
    <m/>
    <m/>
    <m/>
    <m/>
    <m/>
  </r>
  <r>
    <x v="8"/>
    <x v="3"/>
    <m/>
    <m/>
    <m/>
    <m/>
    <n v="573.23508982979479"/>
    <m/>
    <m/>
    <m/>
    <m/>
    <m/>
    <m/>
    <m/>
    <m/>
    <m/>
    <m/>
    <m/>
    <m/>
    <m/>
    <m/>
    <m/>
    <m/>
    <m/>
    <m/>
  </r>
  <r>
    <x v="8"/>
    <x v="4"/>
    <m/>
    <m/>
    <m/>
    <m/>
    <n v="560.58854701829273"/>
    <m/>
    <m/>
    <m/>
    <m/>
    <m/>
    <m/>
    <m/>
    <m/>
    <m/>
    <m/>
    <m/>
    <m/>
    <m/>
    <m/>
    <m/>
    <m/>
    <m/>
    <m/>
  </r>
  <r>
    <x v="8"/>
    <x v="5"/>
    <m/>
    <m/>
    <m/>
    <m/>
    <n v="619.88054907395565"/>
    <m/>
    <m/>
    <m/>
    <m/>
    <m/>
    <m/>
    <m/>
    <m/>
    <m/>
    <m/>
    <m/>
    <m/>
    <m/>
    <m/>
    <m/>
    <m/>
    <m/>
    <m/>
  </r>
  <r>
    <x v="8"/>
    <x v="6"/>
    <m/>
    <m/>
    <m/>
    <m/>
    <n v="445.53341350904151"/>
    <m/>
    <m/>
    <m/>
    <m/>
    <m/>
    <m/>
    <m/>
    <m/>
    <m/>
    <m/>
    <m/>
    <m/>
    <m/>
    <m/>
    <m/>
    <m/>
    <m/>
    <m/>
  </r>
  <r>
    <x v="8"/>
    <x v="7"/>
    <m/>
    <m/>
    <m/>
    <m/>
    <n v="2786.2937805200008"/>
    <m/>
    <m/>
    <m/>
    <m/>
    <m/>
    <m/>
    <m/>
    <m/>
    <m/>
    <m/>
    <m/>
    <m/>
    <m/>
    <m/>
    <m/>
    <m/>
    <m/>
    <m/>
  </r>
  <r>
    <x v="9"/>
    <x v="1"/>
    <m/>
    <m/>
    <m/>
    <m/>
    <n v="1375.512274976252"/>
    <m/>
    <m/>
    <m/>
    <m/>
    <m/>
    <m/>
    <m/>
    <m/>
    <m/>
    <m/>
    <m/>
    <m/>
    <m/>
    <m/>
    <m/>
    <m/>
    <m/>
    <m/>
  </r>
  <r>
    <x v="9"/>
    <x v="2"/>
    <m/>
    <m/>
    <m/>
    <m/>
    <n v="5608.2334784723807"/>
    <m/>
    <m/>
    <m/>
    <m/>
    <m/>
    <m/>
    <m/>
    <m/>
    <m/>
    <m/>
    <m/>
    <m/>
    <m/>
    <m/>
    <m/>
    <m/>
    <m/>
    <m/>
  </r>
  <r>
    <x v="9"/>
    <x v="3"/>
    <m/>
    <m/>
    <m/>
    <m/>
    <n v="7639.1274827642155"/>
    <m/>
    <m/>
    <m/>
    <m/>
    <m/>
    <m/>
    <m/>
    <m/>
    <m/>
    <m/>
    <m/>
    <m/>
    <m/>
    <m/>
    <m/>
    <m/>
    <m/>
    <m/>
  </r>
  <r>
    <x v="9"/>
    <x v="4"/>
    <m/>
    <m/>
    <m/>
    <m/>
    <n v="7470.6531004220578"/>
    <m/>
    <m/>
    <m/>
    <m/>
    <m/>
    <m/>
    <m/>
    <m/>
    <m/>
    <m/>
    <m/>
    <m/>
    <m/>
    <m/>
    <m/>
    <m/>
    <m/>
    <m/>
  </r>
  <r>
    <x v="9"/>
    <x v="5"/>
    <m/>
    <m/>
    <m/>
    <m/>
    <n v="8257.9017316968275"/>
    <m/>
    <m/>
    <m/>
    <m/>
    <m/>
    <m/>
    <m/>
    <m/>
    <m/>
    <m/>
    <m/>
    <m/>
    <m/>
    <m/>
    <m/>
    <m/>
    <m/>
    <m/>
  </r>
  <r>
    <x v="9"/>
    <x v="6"/>
    <m/>
    <m/>
    <m/>
    <m/>
    <n v="5940.2900117660456"/>
    <m/>
    <m/>
    <m/>
    <m/>
    <m/>
    <m/>
    <m/>
    <m/>
    <m/>
    <m/>
    <m/>
    <m/>
    <m/>
    <m/>
    <m/>
    <m/>
    <m/>
    <m/>
  </r>
  <r>
    <x v="9"/>
    <x v="7"/>
    <m/>
    <m/>
    <m/>
    <m/>
    <n v="36141.40968105472"/>
    <m/>
    <m/>
    <m/>
    <m/>
    <m/>
    <m/>
    <m/>
    <m/>
    <m/>
    <m/>
    <m/>
    <m/>
    <m/>
    <m/>
    <m/>
    <m/>
    <m/>
    <m/>
  </r>
  <r>
    <x v="10"/>
    <x v="1"/>
    <m/>
    <m/>
    <m/>
    <m/>
    <n v="2412.0716801165272"/>
    <m/>
    <m/>
    <m/>
    <m/>
    <m/>
    <m/>
    <m/>
    <m/>
    <m/>
    <m/>
    <m/>
    <m/>
    <m/>
    <m/>
    <m/>
    <m/>
    <m/>
    <m/>
  </r>
  <r>
    <x v="10"/>
    <x v="2"/>
    <m/>
    <m/>
    <m/>
    <m/>
    <n v="8835.2510191099736"/>
    <m/>
    <m/>
    <m/>
    <m/>
    <m/>
    <m/>
    <m/>
    <m/>
    <m/>
    <m/>
    <m/>
    <m/>
    <m/>
    <m/>
    <m/>
    <m/>
    <m/>
    <m/>
  </r>
  <r>
    <x v="10"/>
    <x v="3"/>
    <m/>
    <m/>
    <m/>
    <m/>
    <n v="11916.906843737224"/>
    <m/>
    <m/>
    <m/>
    <m/>
    <m/>
    <m/>
    <m/>
    <m/>
    <m/>
    <m/>
    <m/>
    <m/>
    <m/>
    <m/>
    <m/>
    <m/>
    <m/>
    <m/>
  </r>
  <r>
    <x v="10"/>
    <x v="4"/>
    <m/>
    <m/>
    <m/>
    <m/>
    <n v="11654.889241958632"/>
    <m/>
    <m/>
    <m/>
    <m/>
    <m/>
    <m/>
    <m/>
    <m/>
    <m/>
    <m/>
    <m/>
    <m/>
    <m/>
    <m/>
    <m/>
    <m/>
    <m/>
    <m/>
  </r>
  <r>
    <x v="10"/>
    <x v="5"/>
    <m/>
    <m/>
    <m/>
    <m/>
    <n v="12842.90188777458"/>
    <m/>
    <m/>
    <m/>
    <m/>
    <m/>
    <m/>
    <m/>
    <m/>
    <m/>
    <m/>
    <m/>
    <m/>
    <m/>
    <m/>
    <m/>
    <m/>
    <m/>
    <m/>
  </r>
  <r>
    <x v="10"/>
    <x v="6"/>
    <m/>
    <m/>
    <m/>
    <m/>
    <n v="9307.6885067135736"/>
    <m/>
    <m/>
    <m/>
    <m/>
    <m/>
    <m/>
    <m/>
    <m/>
    <m/>
    <m/>
    <m/>
    <m/>
    <m/>
    <m/>
    <m/>
    <m/>
    <m/>
    <m/>
  </r>
  <r>
    <x v="10"/>
    <x v="7"/>
    <m/>
    <m/>
    <m/>
    <m/>
    <n v="56860.251153204284"/>
    <m/>
    <m/>
    <m/>
    <m/>
    <m/>
    <m/>
    <m/>
    <m/>
    <m/>
    <m/>
    <m/>
    <m/>
    <m/>
    <m/>
    <m/>
    <m/>
    <m/>
    <m/>
  </r>
  <r>
    <x v="11"/>
    <x v="1"/>
    <m/>
    <m/>
    <m/>
    <m/>
    <n v="0"/>
    <m/>
    <m/>
    <m/>
    <m/>
    <m/>
    <m/>
    <m/>
    <m/>
    <m/>
    <m/>
    <m/>
    <m/>
    <m/>
    <m/>
    <m/>
    <m/>
    <m/>
    <m/>
  </r>
  <r>
    <x v="11"/>
    <x v="2"/>
    <m/>
    <m/>
    <m/>
    <m/>
    <n v="429.30783106028332"/>
    <m/>
    <m/>
    <m/>
    <m/>
    <m/>
    <m/>
    <m/>
    <m/>
    <m/>
    <m/>
    <m/>
    <m/>
    <m/>
    <m/>
    <m/>
    <m/>
    <m/>
    <m/>
  </r>
  <r>
    <x v="11"/>
    <x v="3"/>
    <m/>
    <m/>
    <m/>
    <m/>
    <n v="642.92582699383752"/>
    <m/>
    <m/>
    <m/>
    <m/>
    <m/>
    <m/>
    <m/>
    <m/>
    <m/>
    <m/>
    <m/>
    <m/>
    <m/>
    <m/>
    <m/>
    <m/>
    <m/>
    <m/>
  </r>
  <r>
    <x v="11"/>
    <x v="4"/>
    <m/>
    <m/>
    <m/>
    <m/>
    <n v="628.35205070739664"/>
    <m/>
    <m/>
    <m/>
    <m/>
    <m/>
    <m/>
    <m/>
    <m/>
    <m/>
    <m/>
    <m/>
    <m/>
    <m/>
    <m/>
    <m/>
    <m/>
    <m/>
    <m/>
  </r>
  <r>
    <x v="11"/>
    <x v="5"/>
    <m/>
    <m/>
    <m/>
    <m/>
    <n v="714.39071028867738"/>
    <m/>
    <m/>
    <m/>
    <m/>
    <m/>
    <m/>
    <m/>
    <m/>
    <m/>
    <m/>
    <m/>
    <m/>
    <m/>
    <m/>
    <m/>
    <m/>
    <m/>
    <m/>
  </r>
  <r>
    <x v="11"/>
    <x v="6"/>
    <m/>
    <m/>
    <m/>
    <m/>
    <n v="479.74280012454221"/>
    <m/>
    <m/>
    <m/>
    <m/>
    <m/>
    <m/>
    <m/>
    <m/>
    <m/>
    <m/>
    <m/>
    <m/>
    <m/>
    <m/>
    <m/>
    <m/>
    <m/>
    <m/>
  </r>
  <r>
    <x v="11"/>
    <x v="7"/>
    <m/>
    <m/>
    <m/>
    <m/>
    <n v="2805.841635836121"/>
    <m/>
    <m/>
    <m/>
    <m/>
    <m/>
    <m/>
    <m/>
    <m/>
    <m/>
    <m/>
    <m/>
    <m/>
    <m/>
    <m/>
    <m/>
    <m/>
    <m/>
    <m/>
  </r>
  <r>
    <x v="12"/>
    <x v="1"/>
    <m/>
    <m/>
    <m/>
    <m/>
    <n v="52.974300340751"/>
    <m/>
    <m/>
    <m/>
    <m/>
    <m/>
    <m/>
    <m/>
    <m/>
    <m/>
    <m/>
    <m/>
    <m/>
    <m/>
    <m/>
    <m/>
    <m/>
    <m/>
    <m/>
  </r>
  <r>
    <x v="12"/>
    <x v="2"/>
    <m/>
    <m/>
    <m/>
    <m/>
    <n v="556.47640010534303"/>
    <m/>
    <m/>
    <m/>
    <m/>
    <m/>
    <m/>
    <m/>
    <m/>
    <m/>
    <m/>
    <m/>
    <m/>
    <m/>
    <m/>
    <m/>
    <m/>
    <m/>
    <m/>
  </r>
  <r>
    <x v="12"/>
    <x v="3"/>
    <m/>
    <m/>
    <m/>
    <m/>
    <n v="798.14181956776383"/>
    <m/>
    <m/>
    <m/>
    <m/>
    <m/>
    <m/>
    <m/>
    <m/>
    <m/>
    <m/>
    <m/>
    <m/>
    <m/>
    <m/>
    <m/>
    <m/>
    <m/>
    <m/>
  </r>
  <r>
    <x v="12"/>
    <x v="4"/>
    <m/>
    <m/>
    <m/>
    <m/>
    <n v="780.2670518113423"/>
    <m/>
    <m/>
    <m/>
    <m/>
    <m/>
    <m/>
    <m/>
    <m/>
    <m/>
    <m/>
    <m/>
    <m/>
    <m/>
    <m/>
    <m/>
    <m/>
    <m/>
    <m/>
  </r>
  <r>
    <x v="12"/>
    <x v="5"/>
    <m/>
    <m/>
    <m/>
    <m/>
    <n v="876.17716348245312"/>
    <m/>
    <m/>
    <m/>
    <m/>
    <m/>
    <m/>
    <m/>
    <m/>
    <m/>
    <m/>
    <m/>
    <m/>
    <m/>
    <m/>
    <m/>
    <m/>
    <m/>
    <m/>
  </r>
  <r>
    <x v="12"/>
    <x v="6"/>
    <m/>
    <m/>
    <m/>
    <m/>
    <n v="606.69614517384457"/>
    <m/>
    <m/>
    <m/>
    <m/>
    <m/>
    <m/>
    <m/>
    <m/>
    <m/>
    <m/>
    <m/>
    <m/>
    <m/>
    <m/>
    <m/>
    <m/>
    <m/>
    <m/>
  </r>
  <r>
    <x v="12"/>
    <x v="7"/>
    <m/>
    <m/>
    <m/>
    <m/>
    <n v="3612.5101557711487"/>
    <m/>
    <m/>
    <m/>
    <m/>
    <m/>
    <m/>
    <m/>
    <m/>
    <m/>
    <m/>
    <m/>
    <m/>
    <m/>
    <m/>
    <m/>
    <m/>
    <m/>
    <m/>
  </r>
  <r>
    <x v="13"/>
    <x v="1"/>
    <m/>
    <m/>
    <m/>
    <m/>
    <n v="138.33592093693068"/>
    <m/>
    <m/>
    <m/>
    <m/>
    <m/>
    <m/>
    <m/>
    <m/>
    <m/>
    <m/>
    <m/>
    <m/>
    <m/>
    <m/>
    <m/>
    <m/>
    <m/>
    <m/>
  </r>
  <r>
    <x v="13"/>
    <x v="2"/>
    <m/>
    <m/>
    <m/>
    <m/>
    <n v="554.81992323696841"/>
    <m/>
    <m/>
    <m/>
    <m/>
    <m/>
    <m/>
    <m/>
    <m/>
    <m/>
    <m/>
    <m/>
    <m/>
    <m/>
    <m/>
    <m/>
    <m/>
    <m/>
    <m/>
  </r>
  <r>
    <x v="13"/>
    <x v="3"/>
    <m/>
    <m/>
    <m/>
    <m/>
    <n v="754.65013959978876"/>
    <m/>
    <m/>
    <m/>
    <m/>
    <m/>
    <m/>
    <m/>
    <m/>
    <m/>
    <m/>
    <m/>
    <m/>
    <m/>
    <m/>
    <m/>
    <m/>
    <m/>
    <m/>
  </r>
  <r>
    <x v="13"/>
    <x v="4"/>
    <m/>
    <m/>
    <m/>
    <m/>
    <n v="738.0143436633839"/>
    <m/>
    <m/>
    <m/>
    <m/>
    <m/>
    <m/>
    <m/>
    <m/>
    <m/>
    <m/>
    <m/>
    <m/>
    <m/>
    <m/>
    <m/>
    <m/>
    <m/>
    <m/>
  </r>
  <r>
    <x v="13"/>
    <x v="5"/>
    <m/>
    <m/>
    <m/>
    <m/>
    <n v="815.41550756632751"/>
    <m/>
    <m/>
    <m/>
    <m/>
    <m/>
    <m/>
    <m/>
    <m/>
    <m/>
    <m/>
    <m/>
    <m/>
    <m/>
    <m/>
    <m/>
    <m/>
    <m/>
    <m/>
  </r>
  <r>
    <x v="13"/>
    <x v="6"/>
    <m/>
    <m/>
    <m/>
    <m/>
    <n v="587.20330718219316"/>
    <m/>
    <m/>
    <m/>
    <m/>
    <m/>
    <m/>
    <m/>
    <m/>
    <m/>
    <m/>
    <m/>
    <m/>
    <m/>
    <m/>
    <m/>
    <m/>
    <m/>
    <m/>
  </r>
  <r>
    <x v="13"/>
    <x v="7"/>
    <m/>
    <m/>
    <m/>
    <m/>
    <n v="3574.6924037734921"/>
    <m/>
    <m/>
    <m/>
    <m/>
    <m/>
    <m/>
    <m/>
    <m/>
    <m/>
    <m/>
    <m/>
    <m/>
    <m/>
    <m/>
    <m/>
    <m/>
    <m/>
    <m/>
  </r>
  <r>
    <x v="14"/>
    <x v="1"/>
    <m/>
    <m/>
    <m/>
    <m/>
    <n v="1112.4373934176717"/>
    <m/>
    <m/>
    <m/>
    <m/>
    <m/>
    <m/>
    <m/>
    <m/>
    <m/>
    <m/>
    <m/>
    <m/>
    <m/>
    <m/>
    <m/>
    <m/>
    <m/>
    <m/>
  </r>
  <r>
    <x v="14"/>
    <x v="2"/>
    <m/>
    <m/>
    <m/>
    <m/>
    <n v="4689.3335177760382"/>
    <m/>
    <m/>
    <m/>
    <m/>
    <m/>
    <m/>
    <m/>
    <m/>
    <m/>
    <m/>
    <m/>
    <m/>
    <m/>
    <m/>
    <m/>
    <m/>
    <m/>
    <m/>
  </r>
  <r>
    <x v="14"/>
    <x v="3"/>
    <m/>
    <m/>
    <m/>
    <m/>
    <n v="6405.5939001772103"/>
    <m/>
    <m/>
    <m/>
    <m/>
    <m/>
    <m/>
    <m/>
    <m/>
    <m/>
    <m/>
    <m/>
    <m/>
    <m/>
    <m/>
    <m/>
    <m/>
    <m/>
    <m/>
  </r>
  <r>
    <x v="14"/>
    <x v="4"/>
    <m/>
    <m/>
    <m/>
    <m/>
    <n v="6264.2010527359025"/>
    <m/>
    <m/>
    <m/>
    <m/>
    <m/>
    <m/>
    <m/>
    <m/>
    <m/>
    <m/>
    <m/>
    <m/>
    <m/>
    <m/>
    <m/>
    <m/>
    <m/>
    <m/>
  </r>
  <r>
    <x v="14"/>
    <x v="5"/>
    <m/>
    <m/>
    <m/>
    <m/>
    <n v="6930.4937047990552"/>
    <m/>
    <m/>
    <m/>
    <m/>
    <m/>
    <m/>
    <m/>
    <m/>
    <m/>
    <m/>
    <m/>
    <m/>
    <m/>
    <m/>
    <m/>
    <m/>
    <m/>
    <m/>
  </r>
  <r>
    <x v="14"/>
    <x v="6"/>
    <m/>
    <m/>
    <m/>
    <m/>
    <n v="4974.7800191335782"/>
    <m/>
    <m/>
    <m/>
    <m/>
    <m/>
    <m/>
    <m/>
    <m/>
    <m/>
    <m/>
    <m/>
    <m/>
    <m/>
    <m/>
    <m/>
    <m/>
    <m/>
    <m/>
  </r>
  <r>
    <x v="14"/>
    <x v="7"/>
    <m/>
    <m/>
    <m/>
    <m/>
    <n v="30233.549279890445"/>
    <m/>
    <m/>
    <m/>
    <m/>
    <m/>
    <m/>
    <m/>
    <m/>
    <m/>
    <m/>
    <m/>
    <m/>
    <m/>
    <m/>
    <m/>
    <m/>
    <m/>
    <m/>
  </r>
  <r>
    <x v="15"/>
    <x v="1"/>
    <m/>
    <m/>
    <m/>
    <m/>
    <n v="11.105173595398938"/>
    <m/>
    <m/>
    <m/>
    <m/>
    <m/>
    <m/>
    <m/>
    <m/>
    <m/>
    <m/>
    <m/>
    <m/>
    <m/>
    <m/>
    <m/>
    <m/>
    <m/>
    <m/>
  </r>
  <r>
    <x v="15"/>
    <x v="2"/>
    <m/>
    <m/>
    <m/>
    <m/>
    <n v="99.390471286066074"/>
    <m/>
    <m/>
    <m/>
    <m/>
    <m/>
    <m/>
    <m/>
    <m/>
    <m/>
    <m/>
    <m/>
    <m/>
    <m/>
    <m/>
    <m/>
    <m/>
    <m/>
    <m/>
  </r>
  <r>
    <x v="15"/>
    <x v="3"/>
    <m/>
    <m/>
    <m/>
    <m/>
    <n v="141.76335070416371"/>
    <m/>
    <m/>
    <m/>
    <m/>
    <m/>
    <m/>
    <m/>
    <m/>
    <m/>
    <m/>
    <m/>
    <m/>
    <m/>
    <m/>
    <m/>
    <m/>
    <m/>
    <m/>
  </r>
  <r>
    <x v="15"/>
    <x v="4"/>
    <m/>
    <m/>
    <m/>
    <m/>
    <n v="138.59358485798131"/>
    <m/>
    <m/>
    <m/>
    <m/>
    <m/>
    <m/>
    <m/>
    <m/>
    <m/>
    <m/>
    <m/>
    <m/>
    <m/>
    <m/>
    <m/>
    <m/>
    <m/>
    <m/>
  </r>
  <r>
    <x v="15"/>
    <x v="5"/>
    <m/>
    <m/>
    <m/>
    <m/>
    <n v="155.3735452899038"/>
    <m/>
    <m/>
    <m/>
    <m/>
    <m/>
    <m/>
    <m/>
    <m/>
    <m/>
    <m/>
    <m/>
    <m/>
    <m/>
    <m/>
    <m/>
    <m/>
    <m/>
    <m/>
  </r>
  <r>
    <x v="15"/>
    <x v="6"/>
    <m/>
    <m/>
    <m/>
    <m/>
    <n v="108.02013392777471"/>
    <m/>
    <m/>
    <m/>
    <m/>
    <m/>
    <m/>
    <m/>
    <m/>
    <m/>
    <m/>
    <m/>
    <m/>
    <m/>
    <m/>
    <m/>
    <m/>
    <m/>
    <m/>
  </r>
  <r>
    <x v="15"/>
    <x v="7"/>
    <m/>
    <m/>
    <m/>
    <m/>
    <n v="644.0540835358338"/>
    <m/>
    <m/>
    <m/>
    <m/>
    <m/>
    <m/>
    <m/>
    <m/>
    <m/>
    <m/>
    <m/>
    <m/>
    <m/>
    <m/>
    <m/>
    <m/>
    <m/>
    <m/>
  </r>
  <r>
    <x v="16"/>
    <x v="1"/>
    <m/>
    <m/>
    <m/>
    <m/>
    <n v="24.711374754699563"/>
    <m/>
    <m/>
    <m/>
    <m/>
    <m/>
    <m/>
    <m/>
    <m/>
    <m/>
    <m/>
    <m/>
    <m/>
    <m/>
    <m/>
    <m/>
    <m/>
    <m/>
    <m/>
  </r>
  <r>
    <x v="16"/>
    <x v="2"/>
    <m/>
    <m/>
    <m/>
    <m/>
    <n v="172.27078565757392"/>
    <m/>
    <m/>
    <m/>
    <m/>
    <m/>
    <m/>
    <m/>
    <m/>
    <m/>
    <m/>
    <m/>
    <m/>
    <m/>
    <m/>
    <m/>
    <m/>
    <m/>
    <m/>
  </r>
  <r>
    <x v="16"/>
    <x v="3"/>
    <m/>
    <m/>
    <m/>
    <m/>
    <n v="243.08800767341987"/>
    <m/>
    <m/>
    <m/>
    <m/>
    <m/>
    <m/>
    <m/>
    <m/>
    <m/>
    <m/>
    <m/>
    <m/>
    <m/>
    <m/>
    <m/>
    <m/>
    <m/>
    <m/>
  </r>
  <r>
    <x v="16"/>
    <x v="4"/>
    <m/>
    <m/>
    <m/>
    <m/>
    <n v="237.66968728917229"/>
    <m/>
    <m/>
    <m/>
    <m/>
    <m/>
    <m/>
    <m/>
    <m/>
    <m/>
    <m/>
    <m/>
    <m/>
    <m/>
    <m/>
    <m/>
    <m/>
    <m/>
    <m/>
  </r>
  <r>
    <x v="16"/>
    <x v="5"/>
    <m/>
    <m/>
    <m/>
    <m/>
    <n v="265.58979690657577"/>
    <m/>
    <m/>
    <m/>
    <m/>
    <m/>
    <m/>
    <m/>
    <m/>
    <m/>
    <m/>
    <m/>
    <m/>
    <m/>
    <m/>
    <m/>
    <m/>
    <m/>
    <m/>
  </r>
  <r>
    <x v="16"/>
    <x v="6"/>
    <m/>
    <m/>
    <m/>
    <m/>
    <n v="186.09848435929831"/>
    <m/>
    <m/>
    <m/>
    <m/>
    <m/>
    <m/>
    <m/>
    <m/>
    <m/>
    <m/>
    <m/>
    <m/>
    <m/>
    <m/>
    <m/>
    <m/>
    <m/>
    <m/>
  </r>
  <r>
    <x v="16"/>
    <x v="7"/>
    <m/>
    <m/>
    <m/>
    <m/>
    <n v="1115.4376810418057"/>
    <m/>
    <m/>
    <m/>
    <m/>
    <m/>
    <m/>
    <m/>
    <m/>
    <m/>
    <m/>
    <m/>
    <m/>
    <m/>
    <m/>
    <m/>
    <m/>
    <m/>
    <m/>
  </r>
  <r>
    <x v="17"/>
    <x v="1"/>
    <m/>
    <m/>
    <m/>
    <m/>
    <n v="60.039532436093708"/>
    <m/>
    <m/>
    <m/>
    <m/>
    <m/>
    <m/>
    <m/>
    <m/>
    <m/>
    <m/>
    <m/>
    <m/>
    <m/>
    <m/>
    <m/>
    <m/>
    <m/>
    <m/>
  </r>
  <r>
    <x v="17"/>
    <x v="2"/>
    <m/>
    <m/>
    <m/>
    <m/>
    <n v="210.87269239551009"/>
    <m/>
    <m/>
    <m/>
    <m/>
    <m/>
    <m/>
    <m/>
    <m/>
    <m/>
    <m/>
    <m/>
    <m/>
    <m/>
    <m/>
    <m/>
    <m/>
    <m/>
    <m/>
  </r>
  <r>
    <x v="17"/>
    <x v="3"/>
    <m/>
    <m/>
    <m/>
    <m/>
    <n v="283.23559563760932"/>
    <m/>
    <m/>
    <m/>
    <m/>
    <m/>
    <m/>
    <m/>
    <m/>
    <m/>
    <m/>
    <m/>
    <m/>
    <m/>
    <m/>
    <m/>
    <m/>
    <m/>
    <m/>
  </r>
  <r>
    <x v="17"/>
    <x v="4"/>
    <m/>
    <m/>
    <m/>
    <m/>
    <n v="277.01621902311012"/>
    <m/>
    <m/>
    <m/>
    <m/>
    <m/>
    <m/>
    <m/>
    <m/>
    <m/>
    <m/>
    <m/>
    <m/>
    <m/>
    <m/>
    <m/>
    <m/>
    <m/>
    <m/>
  </r>
  <r>
    <x v="17"/>
    <x v="5"/>
    <m/>
    <m/>
    <m/>
    <m/>
    <n v="304.84438721838723"/>
    <m/>
    <m/>
    <m/>
    <m/>
    <m/>
    <m/>
    <m/>
    <m/>
    <m/>
    <m/>
    <m/>
    <m/>
    <m/>
    <m/>
    <m/>
    <m/>
    <m/>
    <m/>
  </r>
  <r>
    <x v="17"/>
    <x v="6"/>
    <m/>
    <m/>
    <m/>
    <m/>
    <n v="221.63758458181283"/>
    <m/>
    <m/>
    <m/>
    <m/>
    <m/>
    <m/>
    <m/>
    <m/>
    <m/>
    <m/>
    <m/>
    <m/>
    <m/>
    <m/>
    <m/>
    <m/>
    <m/>
    <m/>
  </r>
  <r>
    <x v="17"/>
    <x v="7"/>
    <m/>
    <m/>
    <m/>
    <m/>
    <n v="1355.9435080996584"/>
    <m/>
    <m/>
    <m/>
    <m/>
    <m/>
    <m/>
    <m/>
    <m/>
    <m/>
    <m/>
    <m/>
    <m/>
    <m/>
    <m/>
    <m/>
    <m/>
    <m/>
    <m/>
  </r>
  <r>
    <x v="18"/>
    <x v="1"/>
    <m/>
    <m/>
    <m/>
    <m/>
    <n v="3.7019678094223503"/>
    <m/>
    <m/>
    <m/>
    <m/>
    <m/>
    <m/>
    <m/>
    <m/>
    <m/>
    <m/>
    <m/>
    <m/>
    <m/>
    <m/>
    <m/>
    <m/>
    <m/>
    <m/>
  </r>
  <r>
    <x v="18"/>
    <x v="2"/>
    <m/>
    <m/>
    <m/>
    <m/>
    <n v="18.576570810263995"/>
    <m/>
    <m/>
    <m/>
    <m/>
    <m/>
    <m/>
    <m/>
    <m/>
    <m/>
    <m/>
    <m/>
    <m/>
    <m/>
    <m/>
    <m/>
    <m/>
    <m/>
    <m/>
  </r>
  <r>
    <x v="18"/>
    <x v="3"/>
    <m/>
    <m/>
    <m/>
    <m/>
    <n v="25.714354916759806"/>
    <m/>
    <m/>
    <m/>
    <m/>
    <m/>
    <m/>
    <m/>
    <m/>
    <m/>
    <m/>
    <m/>
    <m/>
    <m/>
    <m/>
    <m/>
    <m/>
    <m/>
    <m/>
  </r>
  <r>
    <x v="18"/>
    <x v="4"/>
    <m/>
    <m/>
    <m/>
    <m/>
    <n v="25.144460151600249"/>
    <m/>
    <m/>
    <m/>
    <m/>
    <m/>
    <m/>
    <m/>
    <m/>
    <m/>
    <m/>
    <m/>
    <m/>
    <m/>
    <m/>
    <m/>
    <m/>
    <m/>
    <m/>
  </r>
  <r>
    <x v="18"/>
    <x v="5"/>
    <m/>
    <m/>
    <m/>
    <m/>
    <n v="27.934154929334522"/>
    <m/>
    <m/>
    <m/>
    <m/>
    <m/>
    <m/>
    <m/>
    <m/>
    <m/>
    <m/>
    <m/>
    <m/>
    <m/>
    <m/>
    <m/>
    <m/>
    <m/>
    <m/>
  </r>
  <r>
    <x v="18"/>
    <x v="6"/>
    <m/>
    <m/>
    <m/>
    <m/>
    <n v="19.853138952004457"/>
    <m/>
    <m/>
    <m/>
    <m/>
    <m/>
    <m/>
    <m/>
    <m/>
    <m/>
    <m/>
    <m/>
    <m/>
    <m/>
    <m/>
    <m/>
    <m/>
    <m/>
    <m/>
  </r>
  <r>
    <x v="18"/>
    <x v="7"/>
    <m/>
    <m/>
    <m/>
    <m/>
    <n v="119.99131423605206"/>
    <m/>
    <m/>
    <m/>
    <m/>
    <m/>
    <m/>
    <m/>
    <m/>
    <m/>
    <m/>
    <m/>
    <m/>
    <m/>
    <m/>
    <m/>
    <m/>
    <m/>
    <m/>
  </r>
  <r>
    <x v="19"/>
    <x v="1"/>
    <m/>
    <m/>
    <m/>
    <m/>
    <n v="436.32807867075621"/>
    <m/>
    <m/>
    <m/>
    <m/>
    <m/>
    <m/>
    <m/>
    <m/>
    <m/>
    <m/>
    <m/>
    <m/>
    <m/>
    <m/>
    <m/>
    <m/>
    <m/>
    <m/>
  </r>
  <r>
    <x v="19"/>
    <x v="2"/>
    <m/>
    <m/>
    <m/>
    <m/>
    <n v="1565.9540942078106"/>
    <m/>
    <m/>
    <m/>
    <m/>
    <m/>
    <m/>
    <m/>
    <m/>
    <m/>
    <m/>
    <m/>
    <m/>
    <m/>
    <m/>
    <m/>
    <m/>
    <m/>
    <m/>
  </r>
  <r>
    <x v="19"/>
    <x v="3"/>
    <m/>
    <m/>
    <m/>
    <m/>
    <n v="2107.9071337773066"/>
    <m/>
    <m/>
    <m/>
    <m/>
    <m/>
    <m/>
    <m/>
    <m/>
    <m/>
    <m/>
    <m/>
    <m/>
    <m/>
    <m/>
    <m/>
    <m/>
    <m/>
    <m/>
  </r>
  <r>
    <x v="19"/>
    <x v="4"/>
    <m/>
    <m/>
    <m/>
    <m/>
    <n v="2061.5895170573062"/>
    <m/>
    <m/>
    <m/>
    <m/>
    <m/>
    <m/>
    <m/>
    <m/>
    <m/>
    <m/>
    <m/>
    <m/>
    <m/>
    <m/>
    <m/>
    <m/>
    <m/>
    <m/>
  </r>
  <r>
    <x v="19"/>
    <x v="5"/>
    <m/>
    <m/>
    <m/>
    <m/>
    <n v="2270.2738930070464"/>
    <m/>
    <m/>
    <m/>
    <m/>
    <m/>
    <m/>
    <m/>
    <m/>
    <m/>
    <m/>
    <m/>
    <m/>
    <m/>
    <m/>
    <m/>
    <m/>
    <m/>
    <m/>
  </r>
  <r>
    <x v="19"/>
    <x v="6"/>
    <m/>
    <m/>
    <m/>
    <m/>
    <n v="1647.8657012704348"/>
    <m/>
    <m/>
    <m/>
    <m/>
    <m/>
    <m/>
    <m/>
    <m/>
    <m/>
    <m/>
    <m/>
    <m/>
    <m/>
    <m/>
    <m/>
    <m/>
    <m/>
    <m/>
  </r>
  <r>
    <x v="19"/>
    <x v="7"/>
    <m/>
    <m/>
    <m/>
    <m/>
    <n v="10075.446009666306"/>
    <m/>
    <m/>
    <m/>
    <m/>
    <m/>
    <m/>
    <m/>
    <m/>
    <m/>
    <m/>
    <m/>
    <m/>
    <m/>
    <m/>
    <m/>
    <m/>
    <m/>
    <m/>
  </r>
  <r>
    <x v="20"/>
    <x v="1"/>
    <m/>
    <m/>
    <m/>
    <m/>
    <n v="286.57810331907694"/>
    <m/>
    <m/>
    <m/>
    <m/>
    <m/>
    <m/>
    <m/>
    <m/>
    <m/>
    <m/>
    <m/>
    <m/>
    <m/>
    <m/>
    <m/>
    <m/>
    <m/>
    <m/>
  </r>
  <r>
    <x v="20"/>
    <x v="2"/>
    <m/>
    <m/>
    <m/>
    <m/>
    <n v="2501.7913577740173"/>
    <m/>
    <m/>
    <m/>
    <m/>
    <m/>
    <m/>
    <m/>
    <m/>
    <m/>
    <m/>
    <m/>
    <m/>
    <m/>
    <m/>
    <m/>
    <m/>
    <m/>
    <m/>
  </r>
  <r>
    <x v="20"/>
    <x v="3"/>
    <m/>
    <m/>
    <m/>
    <m/>
    <n v="3564.9859526872824"/>
    <m/>
    <m/>
    <m/>
    <m/>
    <m/>
    <m/>
    <m/>
    <m/>
    <m/>
    <m/>
    <m/>
    <m/>
    <m/>
    <m/>
    <m/>
    <m/>
    <m/>
    <m/>
  </r>
  <r>
    <x v="20"/>
    <x v="4"/>
    <m/>
    <m/>
    <m/>
    <m/>
    <n v="3485.2963944311691"/>
    <m/>
    <m/>
    <m/>
    <m/>
    <m/>
    <m/>
    <m/>
    <m/>
    <m/>
    <m/>
    <m/>
    <m/>
    <m/>
    <m/>
    <m/>
    <m/>
    <m/>
    <m/>
  </r>
  <r>
    <x v="20"/>
    <x v="5"/>
    <m/>
    <m/>
    <m/>
    <m/>
    <n v="3906.1690417077207"/>
    <m/>
    <m/>
    <m/>
    <m/>
    <m/>
    <m/>
    <m/>
    <m/>
    <m/>
    <m/>
    <m/>
    <m/>
    <m/>
    <m/>
    <m/>
    <m/>
    <m/>
    <m/>
  </r>
  <r>
    <x v="20"/>
    <x v="6"/>
    <m/>
    <m/>
    <m/>
    <m/>
    <n v="2717.5542964224423"/>
    <m/>
    <m/>
    <m/>
    <m/>
    <m/>
    <m/>
    <m/>
    <m/>
    <m/>
    <m/>
    <m/>
    <m/>
    <m/>
    <m/>
    <m/>
    <m/>
    <m/>
    <m/>
  </r>
  <r>
    <x v="20"/>
    <x v="7"/>
    <m/>
    <m/>
    <m/>
    <m/>
    <n v="16228.032997793365"/>
    <m/>
    <m/>
    <m/>
    <m/>
    <m/>
    <m/>
    <m/>
    <m/>
    <m/>
    <m/>
    <m/>
    <m/>
    <m/>
    <m/>
    <m/>
    <m/>
    <m/>
    <m/>
  </r>
  <r>
    <x v="21"/>
    <x v="1"/>
    <m/>
    <m/>
    <m/>
    <m/>
    <n v="112.17003515406995"/>
    <m/>
    <m/>
    <m/>
    <m/>
    <m/>
    <m/>
    <m/>
    <m/>
    <m/>
    <m/>
    <m/>
    <m/>
    <m/>
    <m/>
    <m/>
    <m/>
    <m/>
    <m/>
  </r>
  <r>
    <x v="21"/>
    <x v="2"/>
    <m/>
    <m/>
    <m/>
    <m/>
    <n v="541.82580757830272"/>
    <m/>
    <m/>
    <m/>
    <m/>
    <m/>
    <m/>
    <m/>
    <m/>
    <m/>
    <m/>
    <m/>
    <m/>
    <m/>
    <m/>
    <m/>
    <m/>
    <m/>
    <m/>
  </r>
  <r>
    <x v="21"/>
    <x v="3"/>
    <m/>
    <m/>
    <m/>
    <m/>
    <n v="747.99824064926349"/>
    <m/>
    <m/>
    <m/>
    <m/>
    <m/>
    <m/>
    <m/>
    <m/>
    <m/>
    <m/>
    <m/>
    <m/>
    <m/>
    <m/>
    <m/>
    <m/>
    <m/>
    <m/>
  </r>
  <r>
    <x v="21"/>
    <x v="4"/>
    <m/>
    <m/>
    <m/>
    <m/>
    <n v="731.43418277241585"/>
    <m/>
    <m/>
    <m/>
    <m/>
    <m/>
    <m/>
    <m/>
    <m/>
    <m/>
    <m/>
    <m/>
    <m/>
    <m/>
    <m/>
    <m/>
    <m/>
    <m/>
    <m/>
  </r>
  <r>
    <x v="21"/>
    <x v="5"/>
    <m/>
    <m/>
    <m/>
    <m/>
    <n v="811.90791784216833"/>
    <m/>
    <m/>
    <m/>
    <m/>
    <m/>
    <m/>
    <m/>
    <m/>
    <m/>
    <m/>
    <m/>
    <m/>
    <m/>
    <m/>
    <m/>
    <m/>
    <m/>
    <m/>
  </r>
  <r>
    <x v="21"/>
    <x v="6"/>
    <m/>
    <m/>
    <m/>
    <m/>
    <n v="578.19225200683684"/>
    <m/>
    <m/>
    <m/>
    <m/>
    <m/>
    <m/>
    <m/>
    <m/>
    <m/>
    <m/>
    <m/>
    <m/>
    <m/>
    <m/>
    <m/>
    <m/>
    <m/>
    <m/>
  </r>
  <r>
    <x v="21"/>
    <x v="7"/>
    <m/>
    <m/>
    <m/>
    <m/>
    <n v="3498.0770968903335"/>
    <m/>
    <m/>
    <m/>
    <m/>
    <m/>
    <m/>
    <m/>
    <m/>
    <m/>
    <m/>
    <m/>
    <m/>
    <m/>
    <m/>
    <m/>
    <m/>
    <m/>
    <m/>
  </r>
  <r>
    <x v="22"/>
    <x v="1"/>
    <m/>
    <m/>
    <m/>
    <m/>
    <n v="0"/>
    <m/>
    <m/>
    <m/>
    <m/>
    <m/>
    <m/>
    <m/>
    <m/>
    <m/>
    <m/>
    <m/>
    <m/>
    <m/>
    <m/>
    <m/>
    <m/>
    <m/>
    <m/>
  </r>
  <r>
    <x v="22"/>
    <x v="2"/>
    <m/>
    <m/>
    <m/>
    <m/>
    <n v="636.7883819568641"/>
    <m/>
    <m/>
    <m/>
    <m/>
    <m/>
    <m/>
    <m/>
    <m/>
    <m/>
    <m/>
    <m/>
    <m/>
    <m/>
    <m/>
    <m/>
    <m/>
    <m/>
    <m/>
  </r>
  <r>
    <x v="22"/>
    <x v="3"/>
    <m/>
    <m/>
    <m/>
    <m/>
    <n v="966.89234364810522"/>
    <m/>
    <m/>
    <m/>
    <m/>
    <m/>
    <m/>
    <m/>
    <m/>
    <m/>
    <m/>
    <m/>
    <m/>
    <m/>
    <m/>
    <m/>
    <m/>
    <m/>
    <m/>
  </r>
  <r>
    <x v="22"/>
    <x v="4"/>
    <m/>
    <m/>
    <m/>
    <m/>
    <n v="944.89317550283567"/>
    <m/>
    <m/>
    <m/>
    <m/>
    <m/>
    <m/>
    <m/>
    <m/>
    <m/>
    <m/>
    <m/>
    <m/>
    <m/>
    <m/>
    <m/>
    <m/>
    <m/>
    <m/>
  </r>
  <r>
    <x v="22"/>
    <x v="5"/>
    <m/>
    <m/>
    <m/>
    <m/>
    <n v="1078.3846053010889"/>
    <m/>
    <m/>
    <m/>
    <m/>
    <m/>
    <m/>
    <m/>
    <m/>
    <m/>
    <m/>
    <m/>
    <m/>
    <m/>
    <m/>
    <m/>
    <m/>
    <m/>
    <m/>
  </r>
  <r>
    <x v="22"/>
    <x v="6"/>
    <m/>
    <m/>
    <m/>
    <m/>
    <n v="717.29631267047614"/>
    <m/>
    <m/>
    <m/>
    <m/>
    <m/>
    <m/>
    <m/>
    <m/>
    <m/>
    <m/>
    <m/>
    <m/>
    <m/>
    <m/>
    <m/>
    <m/>
    <m/>
    <m/>
  </r>
  <r>
    <x v="22"/>
    <x v="7"/>
    <m/>
    <m/>
    <m/>
    <m/>
    <n v="4170.07766737168"/>
    <m/>
    <m/>
    <m/>
    <m/>
    <m/>
    <m/>
    <m/>
    <m/>
    <m/>
    <m/>
    <m/>
    <m/>
    <m/>
    <m/>
    <m/>
    <m/>
    <m/>
    <m/>
  </r>
  <r>
    <x v="23"/>
    <x v="1"/>
    <m/>
    <m/>
    <m/>
    <m/>
    <n v="28.264211011019128"/>
    <m/>
    <m/>
    <m/>
    <m/>
    <m/>
    <m/>
    <m/>
    <m/>
    <m/>
    <m/>
    <m/>
    <m/>
    <m/>
    <m/>
    <m/>
    <m/>
    <m/>
    <m/>
  </r>
  <r>
    <x v="23"/>
    <x v="2"/>
    <m/>
    <m/>
    <m/>
    <m/>
    <n v="300.37656738995071"/>
    <m/>
    <m/>
    <m/>
    <m/>
    <m/>
    <m/>
    <m/>
    <m/>
    <m/>
    <m/>
    <m/>
    <m/>
    <m/>
    <m/>
    <m/>
    <m/>
    <m/>
    <m/>
  </r>
  <r>
    <x v="23"/>
    <x v="3"/>
    <m/>
    <m/>
    <m/>
    <m/>
    <n v="430.98234126264765"/>
    <m/>
    <m/>
    <m/>
    <m/>
    <m/>
    <m/>
    <m/>
    <m/>
    <m/>
    <m/>
    <m/>
    <m/>
    <m/>
    <m/>
    <m/>
    <m/>
    <m/>
    <m/>
  </r>
  <r>
    <x v="23"/>
    <x v="4"/>
    <m/>
    <m/>
    <m/>
    <m/>
    <n v="421.3292619054148"/>
    <m/>
    <m/>
    <m/>
    <m/>
    <m/>
    <m/>
    <m/>
    <m/>
    <m/>
    <m/>
    <m/>
    <m/>
    <m/>
    <m/>
    <m/>
    <m/>
    <m/>
    <m/>
  </r>
  <r>
    <x v="23"/>
    <x v="5"/>
    <m/>
    <m/>
    <m/>
    <m/>
    <n v="473.17033139758621"/>
    <m/>
    <m/>
    <m/>
    <m/>
    <m/>
    <m/>
    <m/>
    <m/>
    <m/>
    <m/>
    <m/>
    <m/>
    <m/>
    <m/>
    <m/>
    <m/>
    <m/>
    <m/>
  </r>
  <r>
    <x v="23"/>
    <x v="6"/>
    <m/>
    <m/>
    <m/>
    <m/>
    <n v="327.55267506127893"/>
    <m/>
    <m/>
    <m/>
    <m/>
    <m/>
    <m/>
    <m/>
    <m/>
    <m/>
    <m/>
    <m/>
    <m/>
    <m/>
    <m/>
    <m/>
    <m/>
    <m/>
    <m/>
  </r>
  <r>
    <x v="23"/>
    <x v="7"/>
    <m/>
    <m/>
    <m/>
    <m/>
    <n v="1949.3243632375184"/>
    <m/>
    <m/>
    <m/>
    <m/>
    <m/>
    <m/>
    <m/>
    <m/>
    <m/>
    <m/>
    <m/>
    <m/>
    <m/>
    <m/>
    <m/>
    <m/>
    <m/>
    <m/>
  </r>
  <r>
    <x v="24"/>
    <x v="1"/>
    <m/>
    <m/>
    <m/>
    <m/>
    <n v="41.742590508570522"/>
    <m/>
    <m/>
    <m/>
    <m/>
    <m/>
    <m/>
    <m/>
    <m/>
    <m/>
    <m/>
    <m/>
    <m/>
    <m/>
    <m/>
    <m/>
    <m/>
    <m/>
    <m/>
  </r>
  <r>
    <x v="24"/>
    <x v="2"/>
    <m/>
    <m/>
    <m/>
    <m/>
    <n v="188.56776231819524"/>
    <m/>
    <m/>
    <m/>
    <m/>
    <m/>
    <m/>
    <m/>
    <m/>
    <m/>
    <m/>
    <m/>
    <m/>
    <m/>
    <m/>
    <m/>
    <m/>
    <m/>
    <m/>
  </r>
  <r>
    <x v="24"/>
    <x v="3"/>
    <m/>
    <m/>
    <m/>
    <m/>
    <n v="259.02004456043949"/>
    <m/>
    <m/>
    <m/>
    <m/>
    <m/>
    <m/>
    <m/>
    <m/>
    <m/>
    <m/>
    <m/>
    <m/>
    <m/>
    <m/>
    <m/>
    <m/>
    <m/>
    <m/>
  </r>
  <r>
    <x v="24"/>
    <x v="4"/>
    <m/>
    <m/>
    <m/>
    <m/>
    <n v="253.29287794111536"/>
    <m/>
    <m/>
    <m/>
    <m/>
    <m/>
    <m/>
    <m/>
    <m/>
    <m/>
    <m/>
    <m/>
    <m/>
    <m/>
    <m/>
    <m/>
    <m/>
    <m/>
    <m/>
  </r>
  <r>
    <x v="24"/>
    <x v="5"/>
    <m/>
    <m/>
    <m/>
    <m/>
    <n v="280.7231946602505"/>
    <m/>
    <m/>
    <m/>
    <m/>
    <m/>
    <m/>
    <m/>
    <m/>
    <m/>
    <m/>
    <m/>
    <m/>
    <m/>
    <m/>
    <m/>
    <m/>
    <m/>
    <m/>
  </r>
  <r>
    <x v="24"/>
    <x v="6"/>
    <m/>
    <m/>
    <m/>
    <m/>
    <n v="200.66470523377828"/>
    <m/>
    <m/>
    <m/>
    <m/>
    <m/>
    <m/>
    <m/>
    <m/>
    <m/>
    <m/>
    <m/>
    <m/>
    <m/>
    <m/>
    <m/>
    <m/>
    <m/>
    <m/>
  </r>
  <r>
    <x v="24"/>
    <x v="7"/>
    <m/>
    <m/>
    <m/>
    <m/>
    <n v="1216.595679377855"/>
    <m/>
    <m/>
    <m/>
    <m/>
    <m/>
    <m/>
    <m/>
    <m/>
    <m/>
    <m/>
    <m/>
    <m/>
    <m/>
    <m/>
    <m/>
    <m/>
    <m/>
    <m/>
  </r>
  <r>
    <x v="25"/>
    <x v="1"/>
    <m/>
    <m/>
    <m/>
    <m/>
    <n v="562.20580255439972"/>
    <m/>
    <m/>
    <m/>
    <m/>
    <m/>
    <m/>
    <m/>
    <m/>
    <m/>
    <m/>
    <m/>
    <m/>
    <m/>
    <m/>
    <m/>
    <m/>
    <m/>
    <m/>
  </r>
  <r>
    <x v="25"/>
    <x v="2"/>
    <m/>
    <m/>
    <m/>
    <m/>
    <n v="2811.498742409558"/>
    <m/>
    <m/>
    <m/>
    <m/>
    <m/>
    <m/>
    <m/>
    <m/>
    <m/>
    <m/>
    <m/>
    <m/>
    <m/>
    <m/>
    <m/>
    <m/>
    <m/>
    <m/>
  </r>
  <r>
    <x v="25"/>
    <x v="3"/>
    <m/>
    <m/>
    <m/>
    <m/>
    <n v="3890.8513273100907"/>
    <m/>
    <m/>
    <m/>
    <m/>
    <m/>
    <m/>
    <m/>
    <m/>
    <m/>
    <m/>
    <m/>
    <m/>
    <m/>
    <m/>
    <m/>
    <m/>
    <m/>
    <m/>
  </r>
  <r>
    <x v="25"/>
    <x v="4"/>
    <m/>
    <m/>
    <m/>
    <m/>
    <n v="3804.6264608871861"/>
    <m/>
    <m/>
    <m/>
    <m/>
    <m/>
    <m/>
    <m/>
    <m/>
    <m/>
    <m/>
    <m/>
    <m/>
    <m/>
    <m/>
    <m/>
    <m/>
    <m/>
    <m/>
  </r>
  <r>
    <x v="25"/>
    <x v="5"/>
    <m/>
    <m/>
    <m/>
    <m/>
    <n v="4226.4265570347761"/>
    <m/>
    <m/>
    <m/>
    <m/>
    <m/>
    <m/>
    <m/>
    <m/>
    <m/>
    <m/>
    <m/>
    <m/>
    <m/>
    <m/>
    <m/>
    <m/>
    <m/>
    <m/>
  </r>
  <r>
    <x v="25"/>
    <x v="6"/>
    <m/>
    <m/>
    <m/>
    <m/>
    <n v="3004.3045212965312"/>
    <m/>
    <m/>
    <m/>
    <m/>
    <m/>
    <m/>
    <m/>
    <m/>
    <m/>
    <m/>
    <m/>
    <m/>
    <m/>
    <m/>
    <m/>
    <m/>
    <m/>
    <m/>
  </r>
  <r>
    <x v="25"/>
    <x v="7"/>
    <m/>
    <m/>
    <m/>
    <m/>
    <n v="18159.718534619547"/>
    <m/>
    <m/>
    <m/>
    <m/>
    <m/>
    <m/>
    <m/>
    <m/>
    <m/>
    <m/>
    <m/>
    <m/>
    <m/>
    <m/>
    <m/>
    <m/>
    <m/>
    <m/>
  </r>
  <r>
    <x v="26"/>
    <x v="1"/>
    <m/>
    <m/>
    <m/>
    <m/>
    <n v="132.59876765314453"/>
    <m/>
    <m/>
    <m/>
    <m/>
    <m/>
    <m/>
    <m/>
    <m/>
    <m/>
    <m/>
    <m/>
    <m/>
    <m/>
    <m/>
    <m/>
    <m/>
    <m/>
    <m/>
  </r>
  <r>
    <x v="26"/>
    <x v="2"/>
    <m/>
    <m/>
    <m/>
    <m/>
    <n v="500.57360292817606"/>
    <m/>
    <m/>
    <m/>
    <m/>
    <m/>
    <m/>
    <m/>
    <m/>
    <m/>
    <m/>
    <m/>
    <m/>
    <m/>
    <m/>
    <m/>
    <m/>
    <m/>
    <m/>
  </r>
  <r>
    <x v="26"/>
    <x v="3"/>
    <m/>
    <m/>
    <m/>
    <m/>
    <n v="677.12138478882457"/>
    <m/>
    <m/>
    <m/>
    <m/>
    <m/>
    <m/>
    <m/>
    <m/>
    <m/>
    <m/>
    <m/>
    <m/>
    <m/>
    <m/>
    <m/>
    <m/>
    <m/>
    <m/>
  </r>
  <r>
    <x v="26"/>
    <x v="4"/>
    <m/>
    <m/>
    <m/>
    <m/>
    <n v="662.22010675104229"/>
    <m/>
    <m/>
    <m/>
    <m/>
    <m/>
    <m/>
    <m/>
    <m/>
    <m/>
    <m/>
    <m/>
    <m/>
    <m/>
    <m/>
    <m/>
    <m/>
    <m/>
    <m/>
  </r>
  <r>
    <x v="26"/>
    <x v="5"/>
    <m/>
    <m/>
    <m/>
    <m/>
    <n v="730.39390823629685"/>
    <m/>
    <m/>
    <m/>
    <m/>
    <m/>
    <m/>
    <m/>
    <m/>
    <m/>
    <m/>
    <m/>
    <m/>
    <m/>
    <m/>
    <m/>
    <m/>
    <m/>
    <m/>
  </r>
  <r>
    <x v="26"/>
    <x v="6"/>
    <m/>
    <m/>
    <m/>
    <m/>
    <n v="528.18000758470089"/>
    <m/>
    <m/>
    <m/>
    <m/>
    <m/>
    <m/>
    <m/>
    <m/>
    <m/>
    <m/>
    <m/>
    <m/>
    <m/>
    <m/>
    <m/>
    <m/>
    <m/>
    <m/>
  </r>
  <r>
    <x v="26"/>
    <x v="7"/>
    <m/>
    <m/>
    <m/>
    <m/>
    <n v="3223.6823675953901"/>
    <m/>
    <m/>
    <m/>
    <m/>
    <m/>
    <m/>
    <m/>
    <m/>
    <m/>
    <m/>
    <m/>
    <m/>
    <m/>
    <m/>
    <m/>
    <m/>
    <m/>
    <m/>
  </r>
  <r>
    <x v="27"/>
    <x v="0"/>
    <m/>
    <m/>
    <m/>
    <m/>
    <n v="0"/>
    <m/>
    <m/>
    <m/>
    <m/>
    <m/>
    <m/>
    <m/>
    <m/>
    <m/>
    <m/>
    <m/>
    <m/>
    <m/>
    <m/>
    <m/>
    <m/>
    <m/>
    <m/>
  </r>
  <r>
    <x v="27"/>
    <x v="1"/>
    <m/>
    <m/>
    <m/>
    <m/>
    <n v="7871.5765492790042"/>
    <m/>
    <m/>
    <m/>
    <m/>
    <m/>
    <m/>
    <m/>
    <m/>
    <m/>
    <m/>
    <m/>
    <m/>
    <m/>
    <m/>
    <m/>
    <m/>
    <m/>
    <m/>
  </r>
  <r>
    <x v="27"/>
    <x v="2"/>
    <m/>
    <m/>
    <m/>
    <m/>
    <n v="34918.294873855579"/>
    <m/>
    <m/>
    <m/>
    <m/>
    <m/>
    <m/>
    <m/>
    <m/>
    <m/>
    <m/>
    <m/>
    <m/>
    <m/>
    <m/>
    <m/>
    <m/>
    <m/>
    <m/>
  </r>
  <r>
    <x v="27"/>
    <x v="3"/>
    <m/>
    <m/>
    <m/>
    <m/>
    <n v="47945.600418247326"/>
    <m/>
    <m/>
    <m/>
    <m/>
    <m/>
    <m/>
    <m/>
    <m/>
    <m/>
    <m/>
    <m/>
    <m/>
    <m/>
    <m/>
    <m/>
    <m/>
    <m/>
    <m/>
  </r>
  <r>
    <x v="27"/>
    <x v="4"/>
    <m/>
    <m/>
    <m/>
    <m/>
    <n v="46885.606434071953"/>
    <m/>
    <m/>
    <m/>
    <m/>
    <m/>
    <m/>
    <m/>
    <m/>
    <m/>
    <m/>
    <m/>
    <m/>
    <m/>
    <m/>
    <m/>
    <m/>
    <m/>
    <m/>
  </r>
  <r>
    <x v="27"/>
    <x v="5"/>
    <m/>
    <m/>
    <m/>
    <m/>
    <n v="51956.723706736659"/>
    <m/>
    <m/>
    <m/>
    <m/>
    <m/>
    <m/>
    <m/>
    <m/>
    <m/>
    <m/>
    <m/>
    <m/>
    <m/>
    <m/>
    <m/>
    <m/>
    <m/>
    <m/>
  </r>
  <r>
    <x v="27"/>
    <x v="6"/>
    <m/>
    <m/>
    <m/>
    <m/>
    <n v="37150.278805904214"/>
    <m/>
    <m/>
    <m/>
    <m/>
    <m/>
    <m/>
    <m/>
    <m/>
    <m/>
    <m/>
    <m/>
    <m/>
    <m/>
    <m/>
    <m/>
    <m/>
    <m/>
    <m/>
  </r>
  <r>
    <x v="27"/>
    <x v="7"/>
    <m/>
    <m/>
    <m/>
    <m/>
    <n v="225361.13409639636"/>
    <m/>
    <m/>
    <m/>
    <m/>
    <m/>
    <m/>
    <m/>
    <m/>
    <m/>
    <m/>
    <m/>
    <m/>
    <m/>
    <m/>
    <m/>
    <m/>
    <m/>
    <m/>
  </r>
  <r>
    <x v="0"/>
    <x v="0"/>
    <m/>
    <m/>
    <m/>
    <m/>
    <m/>
    <n v="47.466666666666669"/>
    <m/>
    <m/>
    <m/>
    <m/>
    <m/>
    <m/>
    <m/>
    <m/>
    <m/>
    <m/>
    <m/>
    <m/>
    <m/>
    <m/>
    <m/>
    <m/>
    <m/>
  </r>
  <r>
    <x v="0"/>
    <x v="1"/>
    <m/>
    <m/>
    <m/>
    <m/>
    <m/>
    <n v="402.08549180469458"/>
    <m/>
    <m/>
    <m/>
    <m/>
    <m/>
    <m/>
    <m/>
    <m/>
    <m/>
    <m/>
    <m/>
    <m/>
    <m/>
    <m/>
    <m/>
    <m/>
    <m/>
  </r>
  <r>
    <x v="0"/>
    <x v="2"/>
    <m/>
    <m/>
    <m/>
    <m/>
    <m/>
    <n v="1120.572837518944"/>
    <m/>
    <m/>
    <m/>
    <m/>
    <m/>
    <m/>
    <m/>
    <m/>
    <m/>
    <m/>
    <m/>
    <m/>
    <m/>
    <m/>
    <m/>
    <m/>
    <m/>
  </r>
  <r>
    <x v="0"/>
    <x v="3"/>
    <m/>
    <m/>
    <m/>
    <m/>
    <m/>
    <n v="1465.1854438883104"/>
    <m/>
    <m/>
    <m/>
    <m/>
    <m/>
    <m/>
    <m/>
    <m/>
    <m/>
    <m/>
    <m/>
    <m/>
    <m/>
    <m/>
    <m/>
    <m/>
    <m/>
  </r>
  <r>
    <x v="0"/>
    <x v="4"/>
    <m/>
    <m/>
    <m/>
    <m/>
    <m/>
    <n v="1433.287155315408"/>
    <m/>
    <m/>
    <m/>
    <m/>
    <m/>
    <m/>
    <m/>
    <m/>
    <m/>
    <m/>
    <m/>
    <m/>
    <m/>
    <m/>
    <m/>
    <m/>
    <m/>
  </r>
  <r>
    <x v="0"/>
    <x v="5"/>
    <m/>
    <m/>
    <m/>
    <m/>
    <m/>
    <n v="1563.4709926100879"/>
    <m/>
    <m/>
    <m/>
    <m/>
    <m/>
    <m/>
    <m/>
    <m/>
    <m/>
    <m/>
    <m/>
    <m/>
    <m/>
    <m/>
    <m/>
    <m/>
    <m/>
  </r>
  <r>
    <x v="0"/>
    <x v="6"/>
    <m/>
    <m/>
    <m/>
    <m/>
    <m/>
    <n v="1160.6038048331288"/>
    <m/>
    <m/>
    <m/>
    <m/>
    <m/>
    <m/>
    <m/>
    <m/>
    <m/>
    <m/>
    <m/>
    <m/>
    <m/>
    <m/>
    <m/>
    <m/>
    <m/>
  </r>
  <r>
    <x v="0"/>
    <x v="7"/>
    <m/>
    <m/>
    <m/>
    <m/>
    <m/>
    <n v="7192.6723926372397"/>
    <m/>
    <m/>
    <m/>
    <m/>
    <m/>
    <m/>
    <m/>
    <m/>
    <m/>
    <m/>
    <m/>
    <m/>
    <m/>
    <m/>
    <m/>
    <m/>
    <m/>
  </r>
  <r>
    <x v="0"/>
    <x v="8"/>
    <m/>
    <m/>
    <m/>
    <m/>
    <m/>
    <n v="7145.2057259705743"/>
    <m/>
    <m/>
    <m/>
    <m/>
    <m/>
    <m/>
    <m/>
    <m/>
    <m/>
    <m/>
    <m/>
    <m/>
    <m/>
    <m/>
    <m/>
    <m/>
    <m/>
  </r>
  <r>
    <x v="1"/>
    <x v="0"/>
    <m/>
    <m/>
    <m/>
    <m/>
    <m/>
    <n v="136"/>
    <m/>
    <m/>
    <m/>
    <m/>
    <m/>
    <m/>
    <m/>
    <m/>
    <m/>
    <m/>
    <m/>
    <m/>
    <m/>
    <m/>
    <m/>
    <m/>
    <m/>
  </r>
  <r>
    <x v="1"/>
    <x v="1"/>
    <m/>
    <m/>
    <m/>
    <m/>
    <m/>
    <n v="716.28750907991912"/>
    <m/>
    <m/>
    <m/>
    <m/>
    <m/>
    <m/>
    <m/>
    <m/>
    <m/>
    <m/>
    <m/>
    <m/>
    <m/>
    <m/>
    <m/>
    <m/>
    <m/>
  </r>
  <r>
    <x v="1"/>
    <x v="2"/>
    <m/>
    <m/>
    <m/>
    <m/>
    <m/>
    <n v="1743.537069796422"/>
    <m/>
    <m/>
    <m/>
    <m/>
    <m/>
    <m/>
    <m/>
    <m/>
    <m/>
    <m/>
    <m/>
    <m/>
    <m/>
    <m/>
    <m/>
    <m/>
    <m/>
  </r>
  <r>
    <x v="1"/>
    <x v="3"/>
    <m/>
    <m/>
    <m/>
    <m/>
    <m/>
    <n v="2236.1396919947761"/>
    <m/>
    <m/>
    <m/>
    <m/>
    <m/>
    <m/>
    <m/>
    <m/>
    <m/>
    <m/>
    <m/>
    <m/>
    <m/>
    <m/>
    <m/>
    <m/>
    <m/>
  </r>
  <r>
    <x v="1"/>
    <x v="4"/>
    <m/>
    <m/>
    <m/>
    <m/>
    <m/>
    <n v="2187.7652371616496"/>
    <m/>
    <m/>
    <m/>
    <m/>
    <m/>
    <m/>
    <m/>
    <m/>
    <m/>
    <m/>
    <m/>
    <m/>
    <m/>
    <m/>
    <m/>
    <m/>
    <m/>
  </r>
  <r>
    <x v="1"/>
    <x v="5"/>
    <m/>
    <m/>
    <m/>
    <m/>
    <m/>
    <n v="2371.0018264676828"/>
    <m/>
    <m/>
    <m/>
    <m/>
    <m/>
    <m/>
    <m/>
    <m/>
    <m/>
    <m/>
    <m/>
    <m/>
    <m/>
    <m/>
    <m/>
    <m/>
    <m/>
  </r>
  <r>
    <x v="1"/>
    <x v="6"/>
    <m/>
    <m/>
    <m/>
    <m/>
    <m/>
    <n v="1787.0706591016963"/>
    <m/>
    <m/>
    <m/>
    <m/>
    <m/>
    <m/>
    <m/>
    <m/>
    <m/>
    <m/>
    <m/>
    <m/>
    <m/>
    <m/>
    <m/>
    <m/>
    <m/>
  </r>
  <r>
    <x v="1"/>
    <x v="7"/>
    <m/>
    <m/>
    <m/>
    <m/>
    <m/>
    <n v="11177.801993602146"/>
    <m/>
    <m/>
    <m/>
    <m/>
    <m/>
    <m/>
    <m/>
    <m/>
    <m/>
    <m/>
    <m/>
    <m/>
    <m/>
    <m/>
    <m/>
    <m/>
    <m/>
  </r>
  <r>
    <x v="1"/>
    <x v="8"/>
    <m/>
    <m/>
    <m/>
    <m/>
    <m/>
    <n v="11041.801993602146"/>
    <m/>
    <m/>
    <m/>
    <m/>
    <m/>
    <m/>
    <m/>
    <m/>
    <m/>
    <m/>
    <m/>
    <m/>
    <m/>
    <m/>
    <m/>
    <m/>
    <m/>
  </r>
  <r>
    <x v="2"/>
    <x v="0"/>
    <m/>
    <m/>
    <m/>
    <m/>
    <m/>
    <n v="205.33333333333334"/>
    <m/>
    <m/>
    <m/>
    <m/>
    <m/>
    <m/>
    <m/>
    <m/>
    <m/>
    <m/>
    <m/>
    <m/>
    <m/>
    <m/>
    <m/>
    <m/>
    <m/>
  </r>
  <r>
    <x v="2"/>
    <x v="1"/>
    <m/>
    <m/>
    <m/>
    <m/>
    <m/>
    <n v="559.5333333333333"/>
    <m/>
    <m/>
    <m/>
    <m/>
    <m/>
    <m/>
    <m/>
    <m/>
    <m/>
    <m/>
    <m/>
    <m/>
    <m/>
    <m/>
    <m/>
    <m/>
    <m/>
  </r>
  <r>
    <x v="2"/>
    <x v="2"/>
    <m/>
    <m/>
    <m/>
    <m/>
    <m/>
    <n v="752.99618536486923"/>
    <m/>
    <m/>
    <m/>
    <m/>
    <m/>
    <m/>
    <m/>
    <m/>
    <m/>
    <m/>
    <m/>
    <m/>
    <m/>
    <m/>
    <m/>
    <m/>
    <m/>
  </r>
  <r>
    <x v="2"/>
    <x v="3"/>
    <m/>
    <m/>
    <m/>
    <m/>
    <m/>
    <n v="862.90928449692228"/>
    <m/>
    <m/>
    <m/>
    <m/>
    <m/>
    <m/>
    <m/>
    <m/>
    <m/>
    <m/>
    <m/>
    <m/>
    <m/>
    <m/>
    <m/>
    <m/>
    <m/>
  </r>
  <r>
    <x v="2"/>
    <x v="4"/>
    <m/>
    <m/>
    <m/>
    <m/>
    <m/>
    <n v="844.98301178071051"/>
    <m/>
    <m/>
    <m/>
    <m/>
    <m/>
    <m/>
    <m/>
    <m/>
    <m/>
    <m/>
    <m/>
    <m/>
    <m/>
    <m/>
    <m/>
    <m/>
    <m/>
  </r>
  <r>
    <x v="2"/>
    <x v="5"/>
    <m/>
    <m/>
    <m/>
    <m/>
    <m/>
    <n v="878.54180235100114"/>
    <m/>
    <m/>
    <m/>
    <m/>
    <m/>
    <m/>
    <m/>
    <m/>
    <m/>
    <m/>
    <m/>
    <m/>
    <m/>
    <m/>
    <m/>
    <m/>
    <m/>
  </r>
  <r>
    <x v="2"/>
    <x v="6"/>
    <m/>
    <m/>
    <m/>
    <m/>
    <m/>
    <n v="727.5622461000969"/>
    <m/>
    <m/>
    <m/>
    <m/>
    <m/>
    <m/>
    <m/>
    <m/>
    <m/>
    <m/>
    <m/>
    <m/>
    <m/>
    <m/>
    <m/>
    <m/>
    <m/>
  </r>
  <r>
    <x v="2"/>
    <x v="7"/>
    <m/>
    <m/>
    <m/>
    <m/>
    <m/>
    <n v="4831.859196760267"/>
    <m/>
    <m/>
    <m/>
    <m/>
    <m/>
    <m/>
    <m/>
    <m/>
    <m/>
    <m/>
    <m/>
    <m/>
    <m/>
    <m/>
    <m/>
    <m/>
    <m/>
  </r>
  <r>
    <x v="2"/>
    <x v="8"/>
    <m/>
    <m/>
    <m/>
    <m/>
    <m/>
    <n v="4626.525863426933"/>
    <m/>
    <m/>
    <m/>
    <m/>
    <m/>
    <m/>
    <m/>
    <m/>
    <m/>
    <m/>
    <m/>
    <m/>
    <m/>
    <m/>
    <m/>
    <m/>
    <m/>
  </r>
  <r>
    <x v="3"/>
    <x v="0"/>
    <m/>
    <m/>
    <m/>
    <m/>
    <m/>
    <n v="103.46666666666668"/>
    <m/>
    <m/>
    <m/>
    <m/>
    <m/>
    <m/>
    <m/>
    <m/>
    <m/>
    <m/>
    <m/>
    <m/>
    <m/>
    <m/>
    <m/>
    <m/>
    <m/>
  </r>
  <r>
    <x v="3"/>
    <x v="1"/>
    <m/>
    <m/>
    <m/>
    <m/>
    <m/>
    <n v="288.92658105239428"/>
    <m/>
    <m/>
    <m/>
    <m/>
    <m/>
    <m/>
    <m/>
    <m/>
    <m/>
    <m/>
    <m/>
    <m/>
    <m/>
    <m/>
    <m/>
    <m/>
    <m/>
  </r>
  <r>
    <x v="3"/>
    <x v="2"/>
    <m/>
    <m/>
    <m/>
    <m/>
    <m/>
    <n v="464.51313209638192"/>
    <m/>
    <m/>
    <m/>
    <m/>
    <m/>
    <m/>
    <m/>
    <m/>
    <m/>
    <m/>
    <m/>
    <m/>
    <m/>
    <m/>
    <m/>
    <m/>
    <m/>
  </r>
  <r>
    <x v="3"/>
    <x v="3"/>
    <m/>
    <m/>
    <m/>
    <m/>
    <m/>
    <n v="548.59120030607369"/>
    <m/>
    <m/>
    <m/>
    <m/>
    <m/>
    <m/>
    <m/>
    <m/>
    <m/>
    <m/>
    <m/>
    <m/>
    <m/>
    <m/>
    <m/>
    <m/>
    <m/>
  </r>
  <r>
    <x v="3"/>
    <x v="4"/>
    <m/>
    <m/>
    <m/>
    <m/>
    <m/>
    <n v="537.06338556654759"/>
    <m/>
    <m/>
    <m/>
    <m/>
    <m/>
    <m/>
    <m/>
    <m/>
    <m/>
    <m/>
    <m/>
    <m/>
    <m/>
    <m/>
    <m/>
    <m/>
    <m/>
  </r>
  <r>
    <x v="3"/>
    <x v="5"/>
    <m/>
    <m/>
    <m/>
    <m/>
    <m/>
    <n v="564.97842109506053"/>
    <m/>
    <m/>
    <m/>
    <m/>
    <m/>
    <m/>
    <m/>
    <m/>
    <m/>
    <m/>
    <m/>
    <m/>
    <m/>
    <m/>
    <m/>
    <m/>
    <m/>
  </r>
  <r>
    <x v="3"/>
    <x v="6"/>
    <m/>
    <m/>
    <m/>
    <m/>
    <m/>
    <n v="455.82396805741593"/>
    <m/>
    <m/>
    <m/>
    <m/>
    <m/>
    <m/>
    <m/>
    <m/>
    <m/>
    <m/>
    <m/>
    <m/>
    <m/>
    <m/>
    <m/>
    <m/>
    <m/>
  </r>
  <r>
    <x v="3"/>
    <x v="7"/>
    <m/>
    <m/>
    <m/>
    <m/>
    <m/>
    <n v="2963.363354840541"/>
    <m/>
    <m/>
    <m/>
    <m/>
    <m/>
    <m/>
    <m/>
    <m/>
    <m/>
    <m/>
    <m/>
    <m/>
    <m/>
    <m/>
    <m/>
    <m/>
    <m/>
  </r>
  <r>
    <x v="3"/>
    <x v="8"/>
    <m/>
    <m/>
    <m/>
    <m/>
    <m/>
    <n v="2859.8966881738743"/>
    <m/>
    <m/>
    <m/>
    <m/>
    <m/>
    <m/>
    <m/>
    <m/>
    <m/>
    <m/>
    <m/>
    <m/>
    <m/>
    <m/>
    <m/>
    <m/>
    <m/>
  </r>
  <r>
    <x v="4"/>
    <x v="0"/>
    <m/>
    <m/>
    <m/>
    <m/>
    <m/>
    <n v="10.666666666666666"/>
    <m/>
    <m/>
    <m/>
    <m/>
    <m/>
    <m/>
    <m/>
    <m/>
    <m/>
    <m/>
    <m/>
    <m/>
    <m/>
    <m/>
    <m/>
    <m/>
    <m/>
  </r>
  <r>
    <x v="4"/>
    <x v="1"/>
    <m/>
    <m/>
    <m/>
    <m/>
    <m/>
    <n v="43.711114280700585"/>
    <m/>
    <m/>
    <m/>
    <m/>
    <m/>
    <m/>
    <m/>
    <m/>
    <m/>
    <m/>
    <m/>
    <m/>
    <m/>
    <m/>
    <m/>
    <m/>
    <m/>
  </r>
  <r>
    <x v="4"/>
    <x v="2"/>
    <m/>
    <m/>
    <m/>
    <m/>
    <m/>
    <n v="94.769956872191855"/>
    <m/>
    <m/>
    <m/>
    <m/>
    <m/>
    <m/>
    <m/>
    <m/>
    <m/>
    <m/>
    <m/>
    <m/>
    <m/>
    <m/>
    <m/>
    <m/>
    <m/>
  </r>
  <r>
    <x v="4"/>
    <x v="3"/>
    <m/>
    <m/>
    <m/>
    <m/>
    <m/>
    <n v="119.24854655912694"/>
    <m/>
    <m/>
    <m/>
    <m/>
    <m/>
    <m/>
    <m/>
    <m/>
    <m/>
    <m/>
    <m/>
    <m/>
    <m/>
    <m/>
    <m/>
    <m/>
    <m/>
  </r>
  <r>
    <x v="4"/>
    <x v="4"/>
    <m/>
    <m/>
    <m/>
    <m/>
    <m/>
    <n v="116.68539258383987"/>
    <m/>
    <m/>
    <m/>
    <m/>
    <m/>
    <m/>
    <m/>
    <m/>
    <m/>
    <m/>
    <m/>
    <m/>
    <m/>
    <m/>
    <m/>
    <m/>
    <m/>
  </r>
  <r>
    <x v="4"/>
    <x v="5"/>
    <m/>
    <m/>
    <m/>
    <m/>
    <m/>
    <n v="125.6272131816639"/>
    <m/>
    <m/>
    <m/>
    <m/>
    <m/>
    <m/>
    <m/>
    <m/>
    <m/>
    <m/>
    <m/>
    <m/>
    <m/>
    <m/>
    <m/>
    <m/>
    <m/>
  </r>
  <r>
    <x v="4"/>
    <x v="6"/>
    <m/>
    <m/>
    <m/>
    <m/>
    <m/>
    <n v="96.148195497453173"/>
    <m/>
    <m/>
    <m/>
    <m/>
    <m/>
    <m/>
    <m/>
    <m/>
    <m/>
    <m/>
    <m/>
    <m/>
    <m/>
    <m/>
    <m/>
    <m/>
    <m/>
  </r>
  <r>
    <x v="4"/>
    <x v="7"/>
    <m/>
    <m/>
    <m/>
    <m/>
    <m/>
    <n v="606.85708564164293"/>
    <m/>
    <m/>
    <m/>
    <m/>
    <m/>
    <m/>
    <m/>
    <m/>
    <m/>
    <m/>
    <m/>
    <m/>
    <m/>
    <m/>
    <m/>
    <m/>
    <m/>
  </r>
  <r>
    <x v="4"/>
    <x v="8"/>
    <m/>
    <m/>
    <m/>
    <m/>
    <m/>
    <n v="596.19041897497641"/>
    <m/>
    <m/>
    <m/>
    <m/>
    <m/>
    <m/>
    <m/>
    <m/>
    <m/>
    <m/>
    <m/>
    <m/>
    <m/>
    <m/>
    <m/>
    <m/>
    <m/>
  </r>
  <r>
    <x v="5"/>
    <x v="0"/>
    <m/>
    <m/>
    <m/>
    <m/>
    <m/>
    <n v="128"/>
    <m/>
    <m/>
    <m/>
    <m/>
    <m/>
    <m/>
    <m/>
    <m/>
    <m/>
    <m/>
    <m/>
    <m/>
    <m/>
    <m/>
    <m/>
    <m/>
    <m/>
  </r>
  <r>
    <x v="5"/>
    <x v="1"/>
    <m/>
    <m/>
    <m/>
    <m/>
    <m/>
    <n v="550.9257148816672"/>
    <m/>
    <m/>
    <m/>
    <m/>
    <m/>
    <m/>
    <m/>
    <m/>
    <m/>
    <m/>
    <m/>
    <m/>
    <m/>
    <m/>
    <m/>
    <m/>
    <m/>
  </r>
  <r>
    <x v="5"/>
    <x v="2"/>
    <m/>
    <m/>
    <m/>
    <m/>
    <m/>
    <n v="1226.0967636518681"/>
    <m/>
    <m/>
    <m/>
    <m/>
    <m/>
    <m/>
    <m/>
    <m/>
    <m/>
    <m/>
    <m/>
    <m/>
    <m/>
    <m/>
    <m/>
    <m/>
    <m/>
  </r>
  <r>
    <x v="5"/>
    <x v="3"/>
    <m/>
    <m/>
    <m/>
    <m/>
    <m/>
    <n v="1549.8065625697723"/>
    <m/>
    <m/>
    <m/>
    <m/>
    <m/>
    <m/>
    <m/>
    <m/>
    <m/>
    <m/>
    <m/>
    <m/>
    <m/>
    <m/>
    <m/>
    <m/>
    <m/>
  </r>
  <r>
    <x v="5"/>
    <x v="4"/>
    <m/>
    <m/>
    <m/>
    <m/>
    <m/>
    <n v="1516.4431557853757"/>
    <m/>
    <m/>
    <m/>
    <m/>
    <m/>
    <m/>
    <m/>
    <m/>
    <m/>
    <m/>
    <m/>
    <m/>
    <m/>
    <m/>
    <m/>
    <m/>
    <m/>
  </r>
  <r>
    <x v="5"/>
    <x v="5"/>
    <m/>
    <m/>
    <m/>
    <m/>
    <m/>
    <n v="1635.2383028313518"/>
    <m/>
    <m/>
    <m/>
    <m/>
    <m/>
    <m/>
    <m/>
    <m/>
    <m/>
    <m/>
    <m/>
    <m/>
    <m/>
    <m/>
    <m/>
    <m/>
    <m/>
  </r>
  <r>
    <x v="5"/>
    <x v="6"/>
    <m/>
    <m/>
    <m/>
    <m/>
    <m/>
    <n v="1246.9456819409211"/>
    <m/>
    <m/>
    <m/>
    <m/>
    <m/>
    <m/>
    <m/>
    <m/>
    <m/>
    <m/>
    <m/>
    <m/>
    <m/>
    <m/>
    <m/>
    <m/>
    <m/>
  </r>
  <r>
    <x v="5"/>
    <x v="7"/>
    <m/>
    <m/>
    <m/>
    <m/>
    <m/>
    <n v="7853.4561816609566"/>
    <m/>
    <m/>
    <m/>
    <m/>
    <m/>
    <m/>
    <m/>
    <m/>
    <m/>
    <m/>
    <m/>
    <m/>
    <m/>
    <m/>
    <m/>
    <m/>
    <m/>
  </r>
  <r>
    <x v="5"/>
    <x v="8"/>
    <m/>
    <m/>
    <m/>
    <m/>
    <m/>
    <n v="7725.4561816609566"/>
    <m/>
    <m/>
    <m/>
    <m/>
    <m/>
    <m/>
    <m/>
    <m/>
    <m/>
    <m/>
    <m/>
    <m/>
    <m/>
    <m/>
    <m/>
    <m/>
    <m/>
  </r>
  <r>
    <x v="6"/>
    <x v="0"/>
    <m/>
    <m/>
    <m/>
    <m/>
    <m/>
    <n v="26.666666666666668"/>
    <m/>
    <m/>
    <m/>
    <m/>
    <m/>
    <m/>
    <m/>
    <m/>
    <m/>
    <m/>
    <m/>
    <m/>
    <m/>
    <m/>
    <m/>
    <m/>
    <m/>
  </r>
  <r>
    <x v="6"/>
    <x v="1"/>
    <m/>
    <m/>
    <m/>
    <m/>
    <m/>
    <n v="190.67826139736977"/>
    <m/>
    <m/>
    <m/>
    <m/>
    <m/>
    <m/>
    <m/>
    <m/>
    <m/>
    <m/>
    <m/>
    <m/>
    <m/>
    <m/>
    <m/>
    <m/>
    <m/>
  </r>
  <r>
    <x v="6"/>
    <x v="2"/>
    <m/>
    <m/>
    <m/>
    <m/>
    <m/>
    <n v="510.98259205432038"/>
    <m/>
    <m/>
    <m/>
    <m/>
    <m/>
    <m/>
    <m/>
    <m/>
    <m/>
    <m/>
    <m/>
    <m/>
    <m/>
    <m/>
    <m/>
    <m/>
    <m/>
  </r>
  <r>
    <x v="6"/>
    <x v="3"/>
    <m/>
    <m/>
    <m/>
    <m/>
    <m/>
    <n v="664.60380602742487"/>
    <m/>
    <m/>
    <m/>
    <m/>
    <m/>
    <m/>
    <m/>
    <m/>
    <m/>
    <m/>
    <m/>
    <m/>
    <m/>
    <m/>
    <m/>
    <m/>
    <m/>
  </r>
  <r>
    <x v="6"/>
    <x v="4"/>
    <m/>
    <m/>
    <m/>
    <m/>
    <m/>
    <n v="650.15973633221711"/>
    <m/>
    <m/>
    <m/>
    <m/>
    <m/>
    <m/>
    <m/>
    <m/>
    <m/>
    <m/>
    <m/>
    <m/>
    <m/>
    <m/>
    <m/>
    <m/>
    <m/>
  </r>
  <r>
    <x v="6"/>
    <x v="5"/>
    <m/>
    <m/>
    <m/>
    <m/>
    <m/>
    <n v="707.96245014818203"/>
    <m/>
    <m/>
    <m/>
    <m/>
    <m/>
    <m/>
    <m/>
    <m/>
    <m/>
    <m/>
    <m/>
    <m/>
    <m/>
    <m/>
    <m/>
    <m/>
    <m/>
  </r>
  <r>
    <x v="6"/>
    <x v="6"/>
    <m/>
    <m/>
    <m/>
    <m/>
    <m/>
    <n v="527.72145716225316"/>
    <m/>
    <m/>
    <m/>
    <m/>
    <m/>
    <m/>
    <m/>
    <m/>
    <m/>
    <m/>
    <m/>
    <m/>
    <m/>
    <m/>
    <m/>
    <m/>
    <m/>
  </r>
  <r>
    <x v="6"/>
    <x v="7"/>
    <m/>
    <m/>
    <m/>
    <m/>
    <m/>
    <n v="3278.7749697884337"/>
    <m/>
    <m/>
    <m/>
    <m/>
    <m/>
    <m/>
    <m/>
    <m/>
    <m/>
    <m/>
    <m/>
    <m/>
    <m/>
    <m/>
    <m/>
    <m/>
    <m/>
  </r>
  <r>
    <x v="6"/>
    <x v="8"/>
    <m/>
    <m/>
    <m/>
    <m/>
    <m/>
    <n v="3252.1083031217672"/>
    <m/>
    <m/>
    <m/>
    <m/>
    <m/>
    <m/>
    <m/>
    <m/>
    <m/>
    <m/>
    <m/>
    <m/>
    <m/>
    <m/>
    <m/>
    <m/>
    <m/>
  </r>
  <r>
    <x v="7"/>
    <x v="0"/>
    <m/>
    <m/>
    <m/>
    <m/>
    <m/>
    <n v="15.466666666666667"/>
    <m/>
    <m/>
    <m/>
    <m/>
    <m/>
    <m/>
    <m/>
    <m/>
    <m/>
    <m/>
    <m/>
    <m/>
    <m/>
    <m/>
    <m/>
    <m/>
    <m/>
  </r>
  <r>
    <x v="7"/>
    <x v="1"/>
    <m/>
    <m/>
    <m/>
    <m/>
    <m/>
    <n v="60.984734411406578"/>
    <m/>
    <m/>
    <m/>
    <m/>
    <m/>
    <m/>
    <m/>
    <m/>
    <m/>
    <m/>
    <m/>
    <m/>
    <m/>
    <m/>
    <m/>
    <m/>
    <m/>
  </r>
  <r>
    <x v="7"/>
    <x v="2"/>
    <m/>
    <m/>
    <m/>
    <m/>
    <m/>
    <n v="129.34834277256425"/>
    <m/>
    <m/>
    <m/>
    <m/>
    <m/>
    <m/>
    <m/>
    <m/>
    <m/>
    <m/>
    <m/>
    <m/>
    <m/>
    <m/>
    <m/>
    <m/>
    <m/>
  </r>
  <r>
    <x v="7"/>
    <x v="3"/>
    <m/>
    <m/>
    <m/>
    <m/>
    <m/>
    <n v="162.12136878584056"/>
    <m/>
    <m/>
    <m/>
    <m/>
    <m/>
    <m/>
    <m/>
    <m/>
    <m/>
    <m/>
    <m/>
    <m/>
    <m/>
    <m/>
    <m/>
    <m/>
    <m/>
  </r>
  <r>
    <x v="7"/>
    <x v="4"/>
    <m/>
    <m/>
    <m/>
    <m/>
    <m/>
    <n v="158.64137599218313"/>
    <m/>
    <m/>
    <m/>
    <m/>
    <m/>
    <m/>
    <m/>
    <m/>
    <m/>
    <m/>
    <m/>
    <m/>
    <m/>
    <m/>
    <m/>
    <m/>
    <m/>
  </r>
  <r>
    <x v="7"/>
    <x v="5"/>
    <m/>
    <m/>
    <m/>
    <m/>
    <m/>
    <n v="170.5634431719545"/>
    <m/>
    <m/>
    <m/>
    <m/>
    <m/>
    <m/>
    <m/>
    <m/>
    <m/>
    <m/>
    <m/>
    <m/>
    <m/>
    <m/>
    <m/>
    <m/>
    <m/>
  </r>
  <r>
    <x v="7"/>
    <x v="6"/>
    <m/>
    <m/>
    <m/>
    <m/>
    <m/>
    <n v="130.95544290773486"/>
    <m/>
    <m/>
    <m/>
    <m/>
    <m/>
    <m/>
    <m/>
    <m/>
    <m/>
    <m/>
    <m/>
    <m/>
    <m/>
    <m/>
    <m/>
    <m/>
    <m/>
  </r>
  <r>
    <x v="7"/>
    <x v="7"/>
    <m/>
    <m/>
    <m/>
    <m/>
    <m/>
    <n v="828.08137470835061"/>
    <m/>
    <m/>
    <m/>
    <m/>
    <m/>
    <m/>
    <m/>
    <m/>
    <m/>
    <m/>
    <m/>
    <m/>
    <m/>
    <m/>
    <m/>
    <m/>
    <m/>
  </r>
  <r>
    <x v="7"/>
    <x v="8"/>
    <m/>
    <m/>
    <m/>
    <m/>
    <m/>
    <n v="812.61470804168391"/>
    <m/>
    <m/>
    <m/>
    <m/>
    <m/>
    <m/>
    <m/>
    <m/>
    <m/>
    <m/>
    <m/>
    <m/>
    <m/>
    <m/>
    <m/>
    <m/>
    <m/>
  </r>
  <r>
    <x v="8"/>
    <x v="0"/>
    <m/>
    <m/>
    <m/>
    <m/>
    <m/>
    <n v="47.466666666666669"/>
    <m/>
    <m/>
    <m/>
    <m/>
    <m/>
    <m/>
    <m/>
    <m/>
    <m/>
    <m/>
    <m/>
    <m/>
    <m/>
    <m/>
    <m/>
    <m/>
    <m/>
  </r>
  <r>
    <x v="8"/>
    <x v="1"/>
    <m/>
    <m/>
    <m/>
    <m/>
    <m/>
    <n v="231.11993511606784"/>
    <m/>
    <m/>
    <m/>
    <m/>
    <m/>
    <m/>
    <m/>
    <m/>
    <m/>
    <m/>
    <m/>
    <m/>
    <m/>
    <m/>
    <m/>
    <m/>
    <m/>
  </r>
  <r>
    <x v="8"/>
    <x v="2"/>
    <m/>
    <m/>
    <m/>
    <m/>
    <m/>
    <n v="544.96898725473886"/>
    <m/>
    <m/>
    <m/>
    <m/>
    <m/>
    <m/>
    <m/>
    <m/>
    <m/>
    <m/>
    <m/>
    <m/>
    <m/>
    <m/>
    <m/>
    <m/>
    <m/>
  </r>
  <r>
    <x v="8"/>
    <x v="3"/>
    <m/>
    <m/>
    <m/>
    <m/>
    <m/>
    <n v="695.46175649646148"/>
    <m/>
    <m/>
    <m/>
    <m/>
    <m/>
    <m/>
    <m/>
    <m/>
    <m/>
    <m/>
    <m/>
    <m/>
    <m/>
    <m/>
    <m/>
    <m/>
    <m/>
  </r>
  <r>
    <x v="8"/>
    <x v="4"/>
    <m/>
    <m/>
    <m/>
    <m/>
    <m/>
    <n v="680.44188035162608"/>
    <m/>
    <m/>
    <m/>
    <m/>
    <m/>
    <m/>
    <m/>
    <m/>
    <m/>
    <m/>
    <m/>
    <m/>
    <m/>
    <m/>
    <m/>
    <m/>
    <m/>
  </r>
  <r>
    <x v="8"/>
    <x v="5"/>
    <m/>
    <m/>
    <m/>
    <m/>
    <m/>
    <n v="736.17388240728906"/>
    <m/>
    <m/>
    <m/>
    <m/>
    <m/>
    <m/>
    <m/>
    <m/>
    <m/>
    <m/>
    <m/>
    <m/>
    <m/>
    <m/>
    <m/>
    <m/>
    <m/>
  </r>
  <r>
    <x v="8"/>
    <x v="6"/>
    <m/>
    <m/>
    <m/>
    <m/>
    <m/>
    <n v="557.08008017570819"/>
    <m/>
    <m/>
    <m/>
    <m/>
    <m/>
    <m/>
    <m/>
    <m/>
    <m/>
    <m/>
    <m/>
    <m/>
    <m/>
    <m/>
    <m/>
    <m/>
    <m/>
  </r>
  <r>
    <x v="8"/>
    <x v="7"/>
    <m/>
    <m/>
    <m/>
    <m/>
    <m/>
    <n v="3492.7131884685582"/>
    <m/>
    <m/>
    <m/>
    <m/>
    <m/>
    <m/>
    <m/>
    <m/>
    <m/>
    <m/>
    <m/>
    <m/>
    <m/>
    <m/>
    <m/>
    <m/>
    <m/>
  </r>
  <r>
    <x v="8"/>
    <x v="8"/>
    <m/>
    <m/>
    <m/>
    <m/>
    <m/>
    <n v="3445.2465218018915"/>
    <m/>
    <m/>
    <m/>
    <m/>
    <m/>
    <m/>
    <m/>
    <m/>
    <m/>
    <m/>
    <m/>
    <m/>
    <m/>
    <m/>
    <m/>
    <m/>
    <m/>
  </r>
  <r>
    <x v="9"/>
    <x v="0"/>
    <m/>
    <m/>
    <m/>
    <m/>
    <m/>
    <n v="596.80000000000007"/>
    <m/>
    <m/>
    <m/>
    <m/>
    <m/>
    <m/>
    <m/>
    <m/>
    <m/>
    <m/>
    <m/>
    <m/>
    <m/>
    <m/>
    <m/>
    <m/>
    <m/>
  </r>
  <r>
    <x v="9"/>
    <x v="1"/>
    <m/>
    <m/>
    <m/>
    <m/>
    <m/>
    <n v="3001.792274976252"/>
    <m/>
    <m/>
    <m/>
    <m/>
    <m/>
    <m/>
    <m/>
    <m/>
    <m/>
    <m/>
    <m/>
    <m/>
    <m/>
    <m/>
    <m/>
    <m/>
    <m/>
  </r>
  <r>
    <x v="9"/>
    <x v="2"/>
    <m/>
    <m/>
    <m/>
    <m/>
    <m/>
    <n v="7174.8334784723811"/>
    <m/>
    <m/>
    <m/>
    <m/>
    <m/>
    <m/>
    <m/>
    <m/>
    <m/>
    <m/>
    <m/>
    <m/>
    <m/>
    <m/>
    <m/>
    <m/>
    <m/>
  </r>
  <r>
    <x v="9"/>
    <x v="3"/>
    <m/>
    <m/>
    <m/>
    <m/>
    <m/>
    <n v="9175.8874827642157"/>
    <m/>
    <m/>
    <m/>
    <m/>
    <m/>
    <m/>
    <m/>
    <m/>
    <m/>
    <m/>
    <m/>
    <m/>
    <m/>
    <m/>
    <m/>
    <m/>
    <m/>
  </r>
  <r>
    <x v="9"/>
    <x v="4"/>
    <m/>
    <m/>
    <m/>
    <m/>
    <m/>
    <n v="8977.5731004220579"/>
    <m/>
    <m/>
    <m/>
    <m/>
    <m/>
    <m/>
    <m/>
    <m/>
    <m/>
    <m/>
    <m/>
    <m/>
    <m/>
    <m/>
    <m/>
    <m/>
    <m/>
  </r>
  <r>
    <x v="9"/>
    <x v="5"/>
    <m/>
    <m/>
    <m/>
    <m/>
    <m/>
    <n v="9720.0617316968273"/>
    <m/>
    <m/>
    <m/>
    <m/>
    <m/>
    <m/>
    <m/>
    <m/>
    <m/>
    <m/>
    <m/>
    <m/>
    <m/>
    <m/>
    <m/>
    <m/>
    <m/>
  </r>
  <r>
    <x v="9"/>
    <x v="6"/>
    <m/>
    <m/>
    <m/>
    <m/>
    <m/>
    <n v="7342.7700117660452"/>
    <m/>
    <m/>
    <m/>
    <m/>
    <m/>
    <m/>
    <m/>
    <m/>
    <m/>
    <m/>
    <m/>
    <m/>
    <m/>
    <m/>
    <m/>
    <m/>
    <m/>
  </r>
  <r>
    <x v="9"/>
    <x v="7"/>
    <m/>
    <m/>
    <m/>
    <m/>
    <m/>
    <n v="45989.71808009778"/>
    <m/>
    <m/>
    <m/>
    <m/>
    <m/>
    <m/>
    <m/>
    <m/>
    <m/>
    <m/>
    <m/>
    <m/>
    <m/>
    <m/>
    <m/>
    <m/>
    <m/>
  </r>
  <r>
    <x v="9"/>
    <x v="8"/>
    <m/>
    <m/>
    <m/>
    <m/>
    <m/>
    <n v="45392.918080097777"/>
    <m/>
    <m/>
    <m/>
    <m/>
    <m/>
    <m/>
    <m/>
    <m/>
    <m/>
    <m/>
    <m/>
    <m/>
    <m/>
    <m/>
    <m/>
    <m/>
    <m/>
  </r>
  <r>
    <x v="10"/>
    <x v="0"/>
    <m/>
    <m/>
    <m/>
    <m/>
    <m/>
    <n v="436.26666666666665"/>
    <m/>
    <m/>
    <m/>
    <m/>
    <m/>
    <m/>
    <m/>
    <m/>
    <m/>
    <m/>
    <m/>
    <m/>
    <m/>
    <m/>
    <m/>
    <m/>
    <m/>
  </r>
  <r>
    <x v="10"/>
    <x v="1"/>
    <m/>
    <m/>
    <m/>
    <m/>
    <m/>
    <n v="3600.898346783194"/>
    <m/>
    <m/>
    <m/>
    <m/>
    <m/>
    <m/>
    <m/>
    <m/>
    <m/>
    <m/>
    <m/>
    <m/>
    <m/>
    <m/>
    <m/>
    <m/>
    <m/>
  </r>
  <r>
    <x v="10"/>
    <x v="2"/>
    <m/>
    <m/>
    <m/>
    <m/>
    <m/>
    <n v="9980.4510191099725"/>
    <m/>
    <m/>
    <m/>
    <m/>
    <m/>
    <m/>
    <m/>
    <m/>
    <m/>
    <m/>
    <m/>
    <m/>
    <m/>
    <m/>
    <m/>
    <m/>
    <m/>
  </r>
  <r>
    <x v="10"/>
    <x v="3"/>
    <m/>
    <m/>
    <m/>
    <m/>
    <m/>
    <n v="13040.293510403892"/>
    <m/>
    <m/>
    <m/>
    <m/>
    <m/>
    <m/>
    <m/>
    <m/>
    <m/>
    <m/>
    <m/>
    <m/>
    <m/>
    <m/>
    <m/>
    <m/>
    <m/>
  </r>
  <r>
    <x v="10"/>
    <x v="4"/>
    <m/>
    <m/>
    <m/>
    <m/>
    <m/>
    <n v="12756.462575291966"/>
    <m/>
    <m/>
    <m/>
    <m/>
    <m/>
    <m/>
    <m/>
    <m/>
    <m/>
    <m/>
    <m/>
    <m/>
    <m/>
    <m/>
    <m/>
    <m/>
    <m/>
  </r>
  <r>
    <x v="10"/>
    <x v="5"/>
    <m/>
    <m/>
    <m/>
    <m/>
    <m/>
    <n v="13911.755221107913"/>
    <m/>
    <m/>
    <m/>
    <m/>
    <m/>
    <m/>
    <m/>
    <m/>
    <m/>
    <m/>
    <m/>
    <m/>
    <m/>
    <m/>
    <m/>
    <m/>
    <m/>
  </r>
  <r>
    <x v="10"/>
    <x v="6"/>
    <m/>
    <m/>
    <m/>
    <m/>
    <m/>
    <n v="10332.915173380241"/>
    <m/>
    <m/>
    <m/>
    <m/>
    <m/>
    <m/>
    <m/>
    <m/>
    <m/>
    <m/>
    <m/>
    <m/>
    <m/>
    <m/>
    <m/>
    <m/>
    <m/>
  </r>
  <r>
    <x v="10"/>
    <x v="7"/>
    <m/>
    <m/>
    <m/>
    <m/>
    <m/>
    <n v="64059.04251274385"/>
    <m/>
    <m/>
    <m/>
    <m/>
    <m/>
    <m/>
    <m/>
    <m/>
    <m/>
    <m/>
    <m/>
    <m/>
    <m/>
    <m/>
    <m/>
    <m/>
    <m/>
  </r>
  <r>
    <x v="10"/>
    <x v="8"/>
    <m/>
    <m/>
    <m/>
    <m/>
    <m/>
    <n v="63622.775846077173"/>
    <m/>
    <m/>
    <m/>
    <m/>
    <m/>
    <m/>
    <m/>
    <m/>
    <m/>
    <m/>
    <m/>
    <m/>
    <m/>
    <m/>
    <m/>
    <m/>
    <m/>
  </r>
  <r>
    <x v="11"/>
    <x v="0"/>
    <m/>
    <m/>
    <m/>
    <m/>
    <m/>
    <n v="294.39999999999998"/>
    <m/>
    <m/>
    <m/>
    <m/>
    <m/>
    <m/>
    <m/>
    <m/>
    <m/>
    <m/>
    <m/>
    <m/>
    <m/>
    <m/>
    <m/>
    <m/>
    <m/>
  </r>
  <r>
    <x v="11"/>
    <x v="1"/>
    <m/>
    <m/>
    <m/>
    <m/>
    <m/>
    <n v="802.2399999999999"/>
    <m/>
    <m/>
    <m/>
    <m/>
    <m/>
    <m/>
    <m/>
    <m/>
    <m/>
    <m/>
    <m/>
    <m/>
    <m/>
    <m/>
    <m/>
    <m/>
    <m/>
  </r>
  <r>
    <x v="11"/>
    <x v="2"/>
    <m/>
    <m/>
    <m/>
    <m/>
    <m/>
    <n v="1202.1078310602834"/>
    <m/>
    <m/>
    <m/>
    <m/>
    <m/>
    <m/>
    <m/>
    <m/>
    <m/>
    <m/>
    <m/>
    <m/>
    <m/>
    <m/>
    <m/>
    <m/>
    <m/>
  </r>
  <r>
    <x v="11"/>
    <x v="3"/>
    <m/>
    <m/>
    <m/>
    <m/>
    <m/>
    <n v="1401.0058269938374"/>
    <m/>
    <m/>
    <m/>
    <m/>
    <m/>
    <m/>
    <m/>
    <m/>
    <m/>
    <m/>
    <m/>
    <m/>
    <m/>
    <m/>
    <m/>
    <m/>
    <m/>
  </r>
  <r>
    <x v="11"/>
    <x v="4"/>
    <m/>
    <m/>
    <m/>
    <m/>
    <m/>
    <n v="1371.7120507073967"/>
    <m/>
    <m/>
    <m/>
    <m/>
    <m/>
    <m/>
    <m/>
    <m/>
    <m/>
    <m/>
    <m/>
    <m/>
    <m/>
    <m/>
    <m/>
    <m/>
    <m/>
  </r>
  <r>
    <x v="11"/>
    <x v="5"/>
    <m/>
    <m/>
    <m/>
    <m/>
    <m/>
    <n v="1435.6707102886776"/>
    <m/>
    <m/>
    <m/>
    <m/>
    <m/>
    <m/>
    <m/>
    <m/>
    <m/>
    <m/>
    <m/>
    <m/>
    <m/>
    <m/>
    <m/>
    <m/>
    <m/>
  </r>
  <r>
    <x v="11"/>
    <x v="6"/>
    <m/>
    <m/>
    <m/>
    <m/>
    <m/>
    <n v="1171.5828001245422"/>
    <m/>
    <m/>
    <m/>
    <m/>
    <m/>
    <m/>
    <m/>
    <m/>
    <m/>
    <m/>
    <m/>
    <m/>
    <m/>
    <m/>
    <m/>
    <m/>
    <m/>
  </r>
  <r>
    <x v="11"/>
    <x v="7"/>
    <m/>
    <m/>
    <m/>
    <m/>
    <m/>
    <n v="7678.7192191747381"/>
    <m/>
    <m/>
    <m/>
    <m/>
    <m/>
    <m/>
    <m/>
    <m/>
    <m/>
    <m/>
    <m/>
    <m/>
    <m/>
    <m/>
    <m/>
    <m/>
    <m/>
  </r>
  <r>
    <x v="11"/>
    <x v="8"/>
    <m/>
    <m/>
    <m/>
    <m/>
    <m/>
    <n v="7384.3192191747366"/>
    <m/>
    <m/>
    <m/>
    <m/>
    <m/>
    <m/>
    <m/>
    <m/>
    <m/>
    <m/>
    <m/>
    <m/>
    <m/>
    <m/>
    <m/>
    <m/>
    <m/>
  </r>
  <r>
    <x v="12"/>
    <x v="0"/>
    <m/>
    <m/>
    <m/>
    <m/>
    <m/>
    <n v="230.93333333333331"/>
    <m/>
    <m/>
    <m/>
    <m/>
    <m/>
    <m/>
    <m/>
    <m/>
    <m/>
    <m/>
    <m/>
    <m/>
    <m/>
    <m/>
    <m/>
    <m/>
    <m/>
  </r>
  <r>
    <x v="12"/>
    <x v="1"/>
    <m/>
    <m/>
    <m/>
    <m/>
    <m/>
    <n v="682.26763367408432"/>
    <m/>
    <m/>
    <m/>
    <m/>
    <m/>
    <m/>
    <m/>
    <m/>
    <m/>
    <m/>
    <m/>
    <m/>
    <m/>
    <m/>
    <m/>
    <m/>
    <m/>
  </r>
  <r>
    <x v="12"/>
    <x v="2"/>
    <m/>
    <m/>
    <m/>
    <m/>
    <m/>
    <n v="1162.676400105343"/>
    <m/>
    <m/>
    <m/>
    <m/>
    <m/>
    <m/>
    <m/>
    <m/>
    <m/>
    <m/>
    <m/>
    <m/>
    <m/>
    <m/>
    <m/>
    <m/>
    <m/>
  </r>
  <r>
    <x v="12"/>
    <x v="3"/>
    <m/>
    <m/>
    <m/>
    <m/>
    <m/>
    <n v="1392.795152901097"/>
    <m/>
    <m/>
    <m/>
    <m/>
    <m/>
    <m/>
    <m/>
    <m/>
    <m/>
    <m/>
    <m/>
    <m/>
    <m/>
    <m/>
    <m/>
    <m/>
    <m/>
  </r>
  <r>
    <x v="12"/>
    <x v="4"/>
    <m/>
    <m/>
    <m/>
    <m/>
    <m/>
    <n v="1363.3737184780089"/>
    <m/>
    <m/>
    <m/>
    <m/>
    <m/>
    <m/>
    <m/>
    <m/>
    <m/>
    <m/>
    <m/>
    <m/>
    <m/>
    <m/>
    <m/>
    <m/>
    <m/>
  </r>
  <r>
    <x v="12"/>
    <x v="5"/>
    <m/>
    <m/>
    <m/>
    <m/>
    <m/>
    <n v="1441.9638301491198"/>
    <m/>
    <m/>
    <m/>
    <m/>
    <m/>
    <m/>
    <m/>
    <m/>
    <m/>
    <m/>
    <m/>
    <m/>
    <m/>
    <m/>
    <m/>
    <m/>
    <m/>
  </r>
  <r>
    <x v="12"/>
    <x v="6"/>
    <m/>
    <m/>
    <m/>
    <m/>
    <m/>
    <n v="1149.389478507178"/>
    <m/>
    <m/>
    <m/>
    <m/>
    <m/>
    <m/>
    <m/>
    <m/>
    <m/>
    <m/>
    <m/>
    <m/>
    <m/>
    <m/>
    <m/>
    <m/>
    <m/>
  </r>
  <r>
    <x v="12"/>
    <x v="7"/>
    <m/>
    <m/>
    <m/>
    <m/>
    <m/>
    <n v="7423.3995471481639"/>
    <m/>
    <m/>
    <m/>
    <m/>
    <m/>
    <m/>
    <m/>
    <m/>
    <m/>
    <m/>
    <m/>
    <m/>
    <m/>
    <m/>
    <m/>
    <m/>
    <m/>
  </r>
  <r>
    <x v="12"/>
    <x v="8"/>
    <m/>
    <m/>
    <m/>
    <m/>
    <m/>
    <n v="7192.4662138148306"/>
    <m/>
    <m/>
    <m/>
    <m/>
    <m/>
    <m/>
    <m/>
    <m/>
    <m/>
    <m/>
    <m/>
    <m/>
    <m/>
    <m/>
    <m/>
    <m/>
    <m/>
  </r>
  <r>
    <x v="13"/>
    <x v="0"/>
    <m/>
    <m/>
    <m/>
    <m/>
    <m/>
    <n v="54.400000000000006"/>
    <m/>
    <m/>
    <m/>
    <m/>
    <m/>
    <m/>
    <m/>
    <m/>
    <m/>
    <m/>
    <m/>
    <m/>
    <m/>
    <m/>
    <m/>
    <m/>
    <m/>
  </r>
  <r>
    <x v="13"/>
    <x v="1"/>
    <m/>
    <m/>
    <m/>
    <m/>
    <m/>
    <n v="286.57592093693069"/>
    <m/>
    <m/>
    <m/>
    <m/>
    <m/>
    <m/>
    <m/>
    <m/>
    <m/>
    <m/>
    <m/>
    <m/>
    <m/>
    <m/>
    <m/>
    <m/>
    <m/>
  </r>
  <r>
    <x v="13"/>
    <x v="2"/>
    <m/>
    <m/>
    <m/>
    <m/>
    <m/>
    <n v="697.61992323696848"/>
    <m/>
    <m/>
    <m/>
    <m/>
    <m/>
    <m/>
    <m/>
    <m/>
    <m/>
    <m/>
    <m/>
    <m/>
    <m/>
    <m/>
    <m/>
    <m/>
    <m/>
  </r>
  <r>
    <x v="13"/>
    <x v="3"/>
    <m/>
    <m/>
    <m/>
    <m/>
    <m/>
    <n v="894.7301395997888"/>
    <m/>
    <m/>
    <m/>
    <m/>
    <m/>
    <m/>
    <m/>
    <m/>
    <m/>
    <m/>
    <m/>
    <m/>
    <m/>
    <m/>
    <m/>
    <m/>
    <m/>
  </r>
  <r>
    <x v="13"/>
    <x v="4"/>
    <m/>
    <m/>
    <m/>
    <m/>
    <m/>
    <n v="875.37434366338391"/>
    <m/>
    <m/>
    <m/>
    <m/>
    <m/>
    <m/>
    <m/>
    <m/>
    <m/>
    <m/>
    <m/>
    <m/>
    <m/>
    <m/>
    <m/>
    <m/>
    <m/>
  </r>
  <r>
    <x v="13"/>
    <x v="5"/>
    <m/>
    <m/>
    <m/>
    <m/>
    <m/>
    <n v="948.69550756632759"/>
    <m/>
    <m/>
    <m/>
    <m/>
    <m/>
    <m/>
    <m/>
    <m/>
    <m/>
    <m/>
    <m/>
    <m/>
    <m/>
    <m/>
    <m/>
    <m/>
    <m/>
  </r>
  <r>
    <x v="13"/>
    <x v="6"/>
    <m/>
    <m/>
    <m/>
    <m/>
    <m/>
    <n v="715.04330718219319"/>
    <m/>
    <m/>
    <m/>
    <m/>
    <m/>
    <m/>
    <m/>
    <m/>
    <m/>
    <m/>
    <m/>
    <m/>
    <m/>
    <m/>
    <m/>
    <m/>
    <m/>
  </r>
  <r>
    <x v="13"/>
    <x v="7"/>
    <m/>
    <m/>
    <m/>
    <m/>
    <m/>
    <n v="4472.4391421855926"/>
    <m/>
    <m/>
    <m/>
    <m/>
    <m/>
    <m/>
    <m/>
    <m/>
    <m/>
    <m/>
    <m/>
    <m/>
    <m/>
    <m/>
    <m/>
    <m/>
    <m/>
  </r>
  <r>
    <x v="13"/>
    <x v="8"/>
    <m/>
    <m/>
    <m/>
    <m/>
    <m/>
    <n v="4418.0391421855929"/>
    <m/>
    <m/>
    <m/>
    <m/>
    <m/>
    <m/>
    <m/>
    <m/>
    <m/>
    <m/>
    <m/>
    <m/>
    <m/>
    <m/>
    <m/>
    <m/>
    <m/>
  </r>
  <r>
    <x v="14"/>
    <x v="0"/>
    <m/>
    <m/>
    <m/>
    <m/>
    <m/>
    <n v="576.53333333333342"/>
    <m/>
    <m/>
    <m/>
    <m/>
    <m/>
    <m/>
    <m/>
    <m/>
    <m/>
    <m/>
    <m/>
    <m/>
    <m/>
    <m/>
    <m/>
    <m/>
    <m/>
  </r>
  <r>
    <x v="14"/>
    <x v="1"/>
    <m/>
    <m/>
    <m/>
    <m/>
    <m/>
    <n v="2683.4907267510052"/>
    <m/>
    <m/>
    <m/>
    <m/>
    <m/>
    <m/>
    <m/>
    <m/>
    <m/>
    <m/>
    <m/>
    <m/>
    <m/>
    <m/>
    <m/>
    <m/>
    <m/>
  </r>
  <r>
    <x v="14"/>
    <x v="2"/>
    <m/>
    <m/>
    <m/>
    <m/>
    <m/>
    <n v="6202.7335177760378"/>
    <m/>
    <m/>
    <m/>
    <m/>
    <m/>
    <m/>
    <m/>
    <m/>
    <m/>
    <m/>
    <m/>
    <m/>
    <m/>
    <m/>
    <m/>
    <m/>
    <m/>
  </r>
  <r>
    <x v="14"/>
    <x v="3"/>
    <m/>
    <m/>
    <m/>
    <m/>
    <m/>
    <n v="7890.1672335105441"/>
    <m/>
    <m/>
    <m/>
    <m/>
    <m/>
    <m/>
    <m/>
    <m/>
    <m/>
    <m/>
    <m/>
    <m/>
    <m/>
    <m/>
    <m/>
    <m/>
    <m/>
  </r>
  <r>
    <x v="14"/>
    <x v="4"/>
    <m/>
    <m/>
    <m/>
    <m/>
    <m/>
    <n v="7719.9477194025694"/>
    <m/>
    <m/>
    <m/>
    <m/>
    <m/>
    <m/>
    <m/>
    <m/>
    <m/>
    <m/>
    <m/>
    <m/>
    <m/>
    <m/>
    <m/>
    <m/>
    <m/>
  </r>
  <r>
    <x v="14"/>
    <x v="5"/>
    <m/>
    <m/>
    <m/>
    <m/>
    <m/>
    <n v="8343.0003714657214"/>
    <m/>
    <m/>
    <m/>
    <m/>
    <m/>
    <m/>
    <m/>
    <m/>
    <m/>
    <m/>
    <m/>
    <m/>
    <m/>
    <m/>
    <m/>
    <m/>
    <m/>
  </r>
  <r>
    <x v="14"/>
    <x v="6"/>
    <m/>
    <m/>
    <m/>
    <m/>
    <m/>
    <n v="6329.6333524669117"/>
    <m/>
    <m/>
    <m/>
    <m/>
    <m/>
    <m/>
    <m/>
    <m/>
    <m/>
    <m/>
    <m/>
    <m/>
    <m/>
    <m/>
    <m/>
    <m/>
    <m/>
  </r>
  <r>
    <x v="14"/>
    <x v="7"/>
    <m/>
    <m/>
    <m/>
    <m/>
    <m/>
    <n v="39745.506254706124"/>
    <m/>
    <m/>
    <m/>
    <m/>
    <m/>
    <m/>
    <m/>
    <m/>
    <m/>
    <m/>
    <m/>
    <m/>
    <m/>
    <m/>
    <m/>
    <m/>
    <m/>
  </r>
  <r>
    <x v="14"/>
    <x v="8"/>
    <m/>
    <m/>
    <m/>
    <m/>
    <m/>
    <n v="39168.972921372784"/>
    <m/>
    <m/>
    <m/>
    <m/>
    <m/>
    <m/>
    <m/>
    <m/>
    <m/>
    <m/>
    <m/>
    <m/>
    <m/>
    <m/>
    <m/>
    <m/>
    <m/>
  </r>
  <r>
    <x v="15"/>
    <x v="0"/>
    <m/>
    <m/>
    <m/>
    <m/>
    <m/>
    <n v="37.866666666666667"/>
    <m/>
    <m/>
    <m/>
    <m/>
    <m/>
    <m/>
    <m/>
    <m/>
    <m/>
    <m/>
    <m/>
    <m/>
    <m/>
    <m/>
    <m/>
    <m/>
    <m/>
  </r>
  <r>
    <x v="15"/>
    <x v="1"/>
    <m/>
    <m/>
    <m/>
    <m/>
    <m/>
    <n v="114.29184026206561"/>
    <m/>
    <m/>
    <m/>
    <m/>
    <m/>
    <m/>
    <m/>
    <m/>
    <m/>
    <m/>
    <m/>
    <m/>
    <m/>
    <m/>
    <m/>
    <m/>
    <m/>
  </r>
  <r>
    <x v="15"/>
    <x v="2"/>
    <m/>
    <m/>
    <m/>
    <m/>
    <m/>
    <n v="198.79047128606609"/>
    <m/>
    <m/>
    <m/>
    <m/>
    <m/>
    <m/>
    <m/>
    <m/>
    <m/>
    <m/>
    <m/>
    <m/>
    <m/>
    <m/>
    <m/>
    <m/>
    <m/>
  </r>
  <r>
    <x v="15"/>
    <x v="3"/>
    <m/>
    <m/>
    <m/>
    <m/>
    <m/>
    <n v="239.27001737083037"/>
    <m/>
    <m/>
    <m/>
    <m/>
    <m/>
    <m/>
    <m/>
    <m/>
    <m/>
    <m/>
    <m/>
    <m/>
    <m/>
    <m/>
    <m/>
    <m/>
    <m/>
  </r>
  <r>
    <x v="15"/>
    <x v="4"/>
    <m/>
    <m/>
    <m/>
    <m/>
    <m/>
    <n v="234.20691819131466"/>
    <m/>
    <m/>
    <m/>
    <m/>
    <m/>
    <m/>
    <m/>
    <m/>
    <m/>
    <m/>
    <m/>
    <m/>
    <m/>
    <m/>
    <m/>
    <m/>
    <m/>
  </r>
  <r>
    <x v="15"/>
    <x v="5"/>
    <m/>
    <m/>
    <m/>
    <m/>
    <m/>
    <n v="248.14687862323711"/>
    <m/>
    <m/>
    <m/>
    <m/>
    <m/>
    <m/>
    <m/>
    <m/>
    <m/>
    <m/>
    <m/>
    <m/>
    <m/>
    <m/>
    <m/>
    <m/>
    <m/>
  </r>
  <r>
    <x v="15"/>
    <x v="6"/>
    <m/>
    <m/>
    <m/>
    <m/>
    <m/>
    <n v="197.00680059444139"/>
    <m/>
    <m/>
    <m/>
    <m/>
    <m/>
    <m/>
    <m/>
    <m/>
    <m/>
    <m/>
    <m/>
    <m/>
    <m/>
    <m/>
    <m/>
    <m/>
    <m/>
  </r>
  <r>
    <x v="15"/>
    <x v="7"/>
    <m/>
    <m/>
    <m/>
    <m/>
    <m/>
    <n v="1269.5795929946219"/>
    <m/>
    <m/>
    <m/>
    <m/>
    <m/>
    <m/>
    <m/>
    <m/>
    <m/>
    <m/>
    <m/>
    <m/>
    <m/>
    <m/>
    <m/>
    <m/>
    <m/>
  </r>
  <r>
    <x v="15"/>
    <x v="8"/>
    <m/>
    <m/>
    <m/>
    <m/>
    <m/>
    <n v="1231.7129263279551"/>
    <m/>
    <m/>
    <m/>
    <m/>
    <m/>
    <m/>
    <m/>
    <m/>
    <m/>
    <m/>
    <m/>
    <m/>
    <m/>
    <m/>
    <m/>
    <m/>
    <m/>
  </r>
  <r>
    <x v="16"/>
    <x v="0"/>
    <m/>
    <m/>
    <m/>
    <m/>
    <m/>
    <n v="54.400000000000006"/>
    <m/>
    <m/>
    <m/>
    <m/>
    <m/>
    <m/>
    <m/>
    <m/>
    <m/>
    <m/>
    <m/>
    <m/>
    <m/>
    <m/>
    <m/>
    <m/>
    <m/>
  </r>
  <r>
    <x v="16"/>
    <x v="1"/>
    <m/>
    <m/>
    <m/>
    <m/>
    <m/>
    <n v="172.95137475469957"/>
    <m/>
    <m/>
    <m/>
    <m/>
    <m/>
    <m/>
    <m/>
    <m/>
    <m/>
    <m/>
    <m/>
    <m/>
    <m/>
    <m/>
    <m/>
    <m/>
    <m/>
  </r>
  <r>
    <x v="16"/>
    <x v="2"/>
    <m/>
    <m/>
    <m/>
    <m/>
    <m/>
    <n v="315.07078565757394"/>
    <m/>
    <m/>
    <m/>
    <m/>
    <m/>
    <m/>
    <m/>
    <m/>
    <m/>
    <m/>
    <m/>
    <m/>
    <m/>
    <m/>
    <m/>
    <m/>
    <m/>
  </r>
  <r>
    <x v="16"/>
    <x v="3"/>
    <m/>
    <m/>
    <m/>
    <m/>
    <m/>
    <n v="383.16800767341988"/>
    <m/>
    <m/>
    <m/>
    <m/>
    <m/>
    <m/>
    <m/>
    <m/>
    <m/>
    <m/>
    <m/>
    <m/>
    <m/>
    <m/>
    <m/>
    <m/>
    <m/>
  </r>
  <r>
    <x v="16"/>
    <x v="4"/>
    <m/>
    <m/>
    <m/>
    <m/>
    <m/>
    <n v="375.02968728917233"/>
    <m/>
    <m/>
    <m/>
    <m/>
    <m/>
    <m/>
    <m/>
    <m/>
    <m/>
    <m/>
    <m/>
    <m/>
    <m/>
    <m/>
    <m/>
    <m/>
    <m/>
  </r>
  <r>
    <x v="16"/>
    <x v="5"/>
    <m/>
    <m/>
    <m/>
    <m/>
    <m/>
    <n v="398.86979690657574"/>
    <m/>
    <m/>
    <m/>
    <m/>
    <m/>
    <m/>
    <m/>
    <m/>
    <m/>
    <m/>
    <m/>
    <m/>
    <m/>
    <m/>
    <m/>
    <m/>
    <m/>
  </r>
  <r>
    <x v="16"/>
    <x v="6"/>
    <m/>
    <m/>
    <m/>
    <m/>
    <m/>
    <n v="313.93848435929834"/>
    <m/>
    <m/>
    <m/>
    <m/>
    <m/>
    <m/>
    <m/>
    <m/>
    <m/>
    <m/>
    <m/>
    <m/>
    <m/>
    <m/>
    <m/>
    <m/>
    <m/>
  </r>
  <r>
    <x v="16"/>
    <x v="7"/>
    <m/>
    <m/>
    <m/>
    <m/>
    <m/>
    <n v="2013.4281366407399"/>
    <m/>
    <m/>
    <m/>
    <m/>
    <m/>
    <m/>
    <m/>
    <m/>
    <m/>
    <m/>
    <m/>
    <m/>
    <m/>
    <m/>
    <m/>
    <m/>
    <m/>
  </r>
  <r>
    <x v="16"/>
    <x v="8"/>
    <m/>
    <m/>
    <m/>
    <m/>
    <m/>
    <n v="1959.0281366407398"/>
    <m/>
    <m/>
    <m/>
    <m/>
    <m/>
    <m/>
    <m/>
    <m/>
    <m/>
    <m/>
    <m/>
    <m/>
    <m/>
    <m/>
    <m/>
    <m/>
    <m/>
  </r>
  <r>
    <x v="17"/>
    <x v="0"/>
    <m/>
    <m/>
    <m/>
    <m/>
    <m/>
    <n v="5.333333333333333"/>
    <m/>
    <m/>
    <m/>
    <m/>
    <m/>
    <m/>
    <m/>
    <m/>
    <m/>
    <m/>
    <m/>
    <m/>
    <m/>
    <m/>
    <m/>
    <m/>
    <m/>
  </r>
  <r>
    <x v="17"/>
    <x v="1"/>
    <m/>
    <m/>
    <m/>
    <m/>
    <m/>
    <n v="74.57286576942704"/>
    <m/>
    <m/>
    <m/>
    <m/>
    <m/>
    <m/>
    <m/>
    <m/>
    <m/>
    <m/>
    <m/>
    <m/>
    <m/>
    <m/>
    <m/>
    <m/>
    <m/>
  </r>
  <r>
    <x v="17"/>
    <x v="2"/>
    <m/>
    <m/>
    <m/>
    <m/>
    <m/>
    <n v="224.87269239551009"/>
    <m/>
    <m/>
    <m/>
    <m/>
    <m/>
    <m/>
    <m/>
    <m/>
    <m/>
    <m/>
    <m/>
    <m/>
    <m/>
    <m/>
    <m/>
    <m/>
    <m/>
  </r>
  <r>
    <x v="17"/>
    <x v="3"/>
    <m/>
    <m/>
    <m/>
    <m/>
    <m/>
    <n v="296.96892897094267"/>
    <m/>
    <m/>
    <m/>
    <m/>
    <m/>
    <m/>
    <m/>
    <m/>
    <m/>
    <m/>
    <m/>
    <m/>
    <m/>
    <m/>
    <m/>
    <m/>
    <m/>
  </r>
  <r>
    <x v="17"/>
    <x v="4"/>
    <m/>
    <m/>
    <m/>
    <m/>
    <m/>
    <n v="290.48288568977682"/>
    <m/>
    <m/>
    <m/>
    <m/>
    <m/>
    <m/>
    <m/>
    <m/>
    <m/>
    <m/>
    <m/>
    <m/>
    <m/>
    <m/>
    <m/>
    <m/>
    <m/>
  </r>
  <r>
    <x v="17"/>
    <x v="5"/>
    <m/>
    <m/>
    <m/>
    <m/>
    <m/>
    <n v="317.91105388505389"/>
    <m/>
    <m/>
    <m/>
    <m/>
    <m/>
    <m/>
    <m/>
    <m/>
    <m/>
    <m/>
    <m/>
    <m/>
    <m/>
    <m/>
    <m/>
    <m/>
    <m/>
  </r>
  <r>
    <x v="17"/>
    <x v="6"/>
    <m/>
    <m/>
    <m/>
    <m/>
    <m/>
    <n v="234.17091791514616"/>
    <m/>
    <m/>
    <m/>
    <m/>
    <m/>
    <m/>
    <m/>
    <m/>
    <m/>
    <m/>
    <m/>
    <m/>
    <m/>
    <m/>
    <m/>
    <m/>
    <m/>
  </r>
  <r>
    <x v="17"/>
    <x v="7"/>
    <m/>
    <m/>
    <m/>
    <m/>
    <m/>
    <n v="1444.3126779591901"/>
    <m/>
    <m/>
    <m/>
    <m/>
    <m/>
    <m/>
    <m/>
    <m/>
    <m/>
    <m/>
    <m/>
    <m/>
    <m/>
    <m/>
    <m/>
    <m/>
    <m/>
  </r>
  <r>
    <x v="17"/>
    <x v="8"/>
    <m/>
    <m/>
    <m/>
    <m/>
    <m/>
    <n v="1438.9793446258568"/>
    <m/>
    <m/>
    <m/>
    <m/>
    <m/>
    <m/>
    <m/>
    <m/>
    <m/>
    <m/>
    <m/>
    <m/>
    <m/>
    <m/>
    <m/>
    <m/>
    <m/>
  </r>
  <r>
    <x v="18"/>
    <x v="0"/>
    <m/>
    <m/>
    <m/>
    <m/>
    <m/>
    <n v="3.7333333333333329"/>
    <m/>
    <m/>
    <m/>
    <m/>
    <m/>
    <m/>
    <m/>
    <m/>
    <m/>
    <m/>
    <m/>
    <m/>
    <m/>
    <m/>
    <m/>
    <m/>
    <m/>
  </r>
  <r>
    <x v="18"/>
    <x v="1"/>
    <m/>
    <m/>
    <m/>
    <m/>
    <m/>
    <n v="13.875301142755685"/>
    <m/>
    <m/>
    <m/>
    <m/>
    <m/>
    <m/>
    <m/>
    <m/>
    <m/>
    <m/>
    <m/>
    <m/>
    <m/>
    <m/>
    <m/>
    <m/>
    <m/>
  </r>
  <r>
    <x v="18"/>
    <x v="2"/>
    <m/>
    <m/>
    <m/>
    <m/>
    <m/>
    <n v="28.376570810263992"/>
    <m/>
    <m/>
    <m/>
    <m/>
    <m/>
    <m/>
    <m/>
    <m/>
    <m/>
    <m/>
    <m/>
    <m/>
    <m/>
    <m/>
    <m/>
    <m/>
    <m/>
  </r>
  <r>
    <x v="18"/>
    <x v="3"/>
    <m/>
    <m/>
    <m/>
    <m/>
    <m/>
    <n v="35.327688250093139"/>
    <m/>
    <m/>
    <m/>
    <m/>
    <m/>
    <m/>
    <m/>
    <m/>
    <m/>
    <m/>
    <m/>
    <m/>
    <m/>
    <m/>
    <m/>
    <m/>
    <m/>
  </r>
  <r>
    <x v="18"/>
    <x v="4"/>
    <m/>
    <m/>
    <m/>
    <m/>
    <m/>
    <n v="34.571126818266919"/>
    <m/>
    <m/>
    <m/>
    <m/>
    <m/>
    <m/>
    <m/>
    <m/>
    <m/>
    <m/>
    <m/>
    <m/>
    <m/>
    <m/>
    <m/>
    <m/>
    <m/>
  </r>
  <r>
    <x v="18"/>
    <x v="5"/>
    <m/>
    <m/>
    <m/>
    <m/>
    <m/>
    <n v="37.080821596001186"/>
    <m/>
    <m/>
    <m/>
    <m/>
    <m/>
    <m/>
    <m/>
    <m/>
    <m/>
    <m/>
    <m/>
    <m/>
    <m/>
    <m/>
    <m/>
    <m/>
    <m/>
  </r>
  <r>
    <x v="18"/>
    <x v="6"/>
    <m/>
    <m/>
    <m/>
    <m/>
    <m/>
    <n v="28.62647228533779"/>
    <m/>
    <m/>
    <m/>
    <m/>
    <m/>
    <m/>
    <m/>
    <m/>
    <m/>
    <m/>
    <m/>
    <m/>
    <m/>
    <m/>
    <m/>
    <m/>
    <m/>
  </r>
  <r>
    <x v="18"/>
    <x v="7"/>
    <m/>
    <m/>
    <m/>
    <m/>
    <m/>
    <n v="181.59131423605206"/>
    <m/>
    <m/>
    <m/>
    <m/>
    <m/>
    <m/>
    <m/>
    <m/>
    <m/>
    <m/>
    <m/>
    <m/>
    <m/>
    <m/>
    <m/>
    <m/>
    <m/>
  </r>
  <r>
    <x v="18"/>
    <x v="8"/>
    <m/>
    <m/>
    <m/>
    <m/>
    <m/>
    <n v="177.85798090271871"/>
    <m/>
    <m/>
    <m/>
    <m/>
    <m/>
    <m/>
    <m/>
    <m/>
    <m/>
    <m/>
    <m/>
    <m/>
    <m/>
    <m/>
    <m/>
    <m/>
    <m/>
  </r>
  <r>
    <x v="19"/>
    <x v="0"/>
    <m/>
    <m/>
    <m/>
    <m/>
    <m/>
    <n v="59.199999999999996"/>
    <m/>
    <m/>
    <m/>
    <m/>
    <m/>
    <m/>
    <m/>
    <m/>
    <m/>
    <m/>
    <m/>
    <m/>
    <m/>
    <m/>
    <m/>
    <m/>
    <m/>
  </r>
  <r>
    <x v="19"/>
    <x v="1"/>
    <m/>
    <m/>
    <m/>
    <m/>
    <m/>
    <n v="597.64807867075626"/>
    <m/>
    <m/>
    <m/>
    <m/>
    <m/>
    <m/>
    <m/>
    <m/>
    <m/>
    <m/>
    <m/>
    <m/>
    <m/>
    <m/>
    <m/>
    <m/>
    <m/>
  </r>
  <r>
    <x v="19"/>
    <x v="2"/>
    <m/>
    <m/>
    <m/>
    <m/>
    <m/>
    <n v="1721.3540942078105"/>
    <m/>
    <m/>
    <m/>
    <m/>
    <m/>
    <m/>
    <m/>
    <m/>
    <m/>
    <m/>
    <m/>
    <m/>
    <m/>
    <m/>
    <m/>
    <m/>
    <m/>
  </r>
  <r>
    <x v="19"/>
    <x v="3"/>
    <m/>
    <m/>
    <m/>
    <m/>
    <m/>
    <n v="2260.3471337773067"/>
    <m/>
    <m/>
    <m/>
    <m/>
    <m/>
    <m/>
    <m/>
    <m/>
    <m/>
    <m/>
    <m/>
    <m/>
    <m/>
    <m/>
    <m/>
    <m/>
    <m/>
  </r>
  <r>
    <x v="19"/>
    <x v="4"/>
    <m/>
    <m/>
    <m/>
    <m/>
    <m/>
    <n v="2211.0695170573063"/>
    <m/>
    <m/>
    <m/>
    <m/>
    <m/>
    <m/>
    <m/>
    <m/>
    <m/>
    <m/>
    <m/>
    <m/>
    <m/>
    <m/>
    <m/>
    <m/>
    <m/>
  </r>
  <r>
    <x v="19"/>
    <x v="5"/>
    <m/>
    <m/>
    <m/>
    <m/>
    <m/>
    <n v="2415.3138930070463"/>
    <m/>
    <m/>
    <m/>
    <m/>
    <m/>
    <m/>
    <m/>
    <m/>
    <m/>
    <m/>
    <m/>
    <m/>
    <m/>
    <m/>
    <m/>
    <m/>
    <m/>
  </r>
  <r>
    <x v="19"/>
    <x v="6"/>
    <m/>
    <m/>
    <m/>
    <m/>
    <m/>
    <n v="1786.9857012704347"/>
    <m/>
    <m/>
    <m/>
    <m/>
    <m/>
    <m/>
    <m/>
    <m/>
    <m/>
    <m/>
    <m/>
    <m/>
    <m/>
    <m/>
    <m/>
    <m/>
    <m/>
  </r>
  <r>
    <x v="19"/>
    <x v="7"/>
    <m/>
    <m/>
    <m/>
    <m/>
    <m/>
    <n v="11051.918417990661"/>
    <m/>
    <m/>
    <m/>
    <m/>
    <m/>
    <m/>
    <m/>
    <m/>
    <m/>
    <m/>
    <m/>
    <m/>
    <m/>
    <m/>
    <m/>
    <m/>
    <m/>
  </r>
  <r>
    <x v="19"/>
    <x v="8"/>
    <m/>
    <m/>
    <m/>
    <m/>
    <m/>
    <n v="10992.71841799066"/>
    <m/>
    <m/>
    <m/>
    <m/>
    <m/>
    <m/>
    <m/>
    <m/>
    <m/>
    <m/>
    <m/>
    <m/>
    <m/>
    <m/>
    <m/>
    <m/>
    <m/>
  </r>
  <r>
    <x v="20"/>
    <x v="0"/>
    <m/>
    <m/>
    <m/>
    <m/>
    <m/>
    <n v="938.66666666666663"/>
    <m/>
    <m/>
    <m/>
    <m/>
    <m/>
    <m/>
    <m/>
    <m/>
    <m/>
    <m/>
    <m/>
    <m/>
    <m/>
    <m/>
    <m/>
    <m/>
    <m/>
  </r>
  <r>
    <x v="20"/>
    <x v="1"/>
    <m/>
    <m/>
    <m/>
    <m/>
    <m/>
    <n v="2844.4447699857433"/>
    <m/>
    <m/>
    <m/>
    <m/>
    <m/>
    <m/>
    <m/>
    <m/>
    <m/>
    <m/>
    <m/>
    <m/>
    <m/>
    <m/>
    <m/>
    <m/>
    <m/>
  </r>
  <r>
    <x v="20"/>
    <x v="2"/>
    <m/>
    <m/>
    <m/>
    <m/>
    <m/>
    <n v="4965.7913577740173"/>
    <m/>
    <m/>
    <m/>
    <m/>
    <m/>
    <m/>
    <m/>
    <m/>
    <m/>
    <m/>
    <m/>
    <m/>
    <m/>
    <m/>
    <m/>
    <m/>
    <m/>
  </r>
  <r>
    <x v="20"/>
    <x v="3"/>
    <m/>
    <m/>
    <m/>
    <m/>
    <m/>
    <n v="5982.052619353949"/>
    <m/>
    <m/>
    <m/>
    <m/>
    <m/>
    <m/>
    <m/>
    <m/>
    <m/>
    <m/>
    <m/>
    <m/>
    <m/>
    <m/>
    <m/>
    <m/>
    <m/>
  </r>
  <r>
    <x v="20"/>
    <x v="4"/>
    <m/>
    <m/>
    <m/>
    <m/>
    <m/>
    <n v="5855.4297277645019"/>
    <m/>
    <m/>
    <m/>
    <m/>
    <m/>
    <m/>
    <m/>
    <m/>
    <m/>
    <m/>
    <m/>
    <m/>
    <m/>
    <m/>
    <m/>
    <m/>
    <m/>
  </r>
  <r>
    <x v="20"/>
    <x v="5"/>
    <m/>
    <m/>
    <m/>
    <m/>
    <m/>
    <n v="6205.9023750410543"/>
    <m/>
    <m/>
    <m/>
    <m/>
    <m/>
    <m/>
    <m/>
    <m/>
    <m/>
    <m/>
    <m/>
    <m/>
    <m/>
    <m/>
    <m/>
    <m/>
    <m/>
  </r>
  <r>
    <x v="20"/>
    <x v="6"/>
    <m/>
    <m/>
    <m/>
    <m/>
    <m/>
    <n v="4923.4209630891091"/>
    <m/>
    <m/>
    <m/>
    <m/>
    <m/>
    <m/>
    <m/>
    <m/>
    <m/>
    <m/>
    <m/>
    <m/>
    <m/>
    <m/>
    <m/>
    <m/>
    <m/>
  </r>
  <r>
    <x v="20"/>
    <x v="7"/>
    <m/>
    <m/>
    <m/>
    <m/>
    <m/>
    <n v="31715.708479675039"/>
    <m/>
    <m/>
    <m/>
    <m/>
    <m/>
    <m/>
    <m/>
    <m/>
    <m/>
    <m/>
    <m/>
    <m/>
    <m/>
    <m/>
    <m/>
    <m/>
    <m/>
  </r>
  <r>
    <x v="20"/>
    <x v="8"/>
    <m/>
    <m/>
    <m/>
    <m/>
    <m/>
    <n v="30777.041813008374"/>
    <m/>
    <m/>
    <m/>
    <m/>
    <m/>
    <m/>
    <m/>
    <m/>
    <m/>
    <m/>
    <m/>
    <m/>
    <m/>
    <m/>
    <m/>
    <m/>
    <m/>
  </r>
  <r>
    <x v="21"/>
    <x v="0"/>
    <m/>
    <m/>
    <m/>
    <m/>
    <m/>
    <n v="100.26666666666667"/>
    <m/>
    <m/>
    <m/>
    <m/>
    <m/>
    <m/>
    <m/>
    <m/>
    <m/>
    <m/>
    <m/>
    <m/>
    <m/>
    <m/>
    <m/>
    <m/>
    <m/>
  </r>
  <r>
    <x v="21"/>
    <x v="1"/>
    <m/>
    <m/>
    <m/>
    <m/>
    <m/>
    <n v="385.39670182073667"/>
    <m/>
    <m/>
    <m/>
    <m/>
    <m/>
    <m/>
    <m/>
    <m/>
    <m/>
    <m/>
    <m/>
    <m/>
    <m/>
    <m/>
    <m/>
    <m/>
    <m/>
  </r>
  <r>
    <x v="21"/>
    <x v="2"/>
    <m/>
    <m/>
    <m/>
    <m/>
    <m/>
    <n v="805.02580757830265"/>
    <m/>
    <m/>
    <m/>
    <m/>
    <m/>
    <m/>
    <m/>
    <m/>
    <m/>
    <m/>
    <m/>
    <m/>
    <m/>
    <m/>
    <m/>
    <m/>
    <m/>
  </r>
  <r>
    <x v="21"/>
    <x v="3"/>
    <m/>
    <m/>
    <m/>
    <m/>
    <m/>
    <n v="1006.1849073159301"/>
    <m/>
    <m/>
    <m/>
    <m/>
    <m/>
    <m/>
    <m/>
    <m/>
    <m/>
    <m/>
    <m/>
    <m/>
    <m/>
    <m/>
    <m/>
    <m/>
    <m/>
  </r>
  <r>
    <x v="21"/>
    <x v="4"/>
    <m/>
    <m/>
    <m/>
    <m/>
    <m/>
    <n v="984.60751610574914"/>
    <m/>
    <m/>
    <m/>
    <m/>
    <m/>
    <m/>
    <m/>
    <m/>
    <m/>
    <m/>
    <m/>
    <m/>
    <m/>
    <m/>
    <m/>
    <m/>
    <m/>
  </r>
  <r>
    <x v="21"/>
    <x v="5"/>
    <m/>
    <m/>
    <m/>
    <m/>
    <m/>
    <n v="1057.5612511755016"/>
    <m/>
    <m/>
    <m/>
    <m/>
    <m/>
    <m/>
    <m/>
    <m/>
    <m/>
    <m/>
    <m/>
    <m/>
    <m/>
    <m/>
    <m/>
    <m/>
    <m/>
  </r>
  <r>
    <x v="21"/>
    <x v="6"/>
    <m/>
    <m/>
    <m/>
    <m/>
    <m/>
    <n v="813.8189186735035"/>
    <m/>
    <m/>
    <m/>
    <m/>
    <m/>
    <m/>
    <m/>
    <m/>
    <m/>
    <m/>
    <m/>
    <m/>
    <m/>
    <m/>
    <m/>
    <m/>
    <m/>
  </r>
  <r>
    <x v="21"/>
    <x v="7"/>
    <m/>
    <m/>
    <m/>
    <m/>
    <m/>
    <n v="5152.8617693363904"/>
    <m/>
    <m/>
    <m/>
    <m/>
    <m/>
    <m/>
    <m/>
    <m/>
    <m/>
    <m/>
    <m/>
    <m/>
    <m/>
    <m/>
    <m/>
    <m/>
    <m/>
  </r>
  <r>
    <x v="21"/>
    <x v="8"/>
    <m/>
    <m/>
    <m/>
    <m/>
    <m/>
    <n v="5052.5951026697239"/>
    <m/>
    <m/>
    <m/>
    <m/>
    <m/>
    <m/>
    <m/>
    <m/>
    <m/>
    <m/>
    <m/>
    <m/>
    <m/>
    <m/>
    <m/>
    <m/>
    <m/>
  </r>
  <r>
    <x v="22"/>
    <x v="0"/>
    <m/>
    <m/>
    <m/>
    <m/>
    <m/>
    <n v="493.33333333333331"/>
    <m/>
    <m/>
    <m/>
    <m/>
    <m/>
    <m/>
    <m/>
    <m/>
    <m/>
    <m/>
    <m/>
    <m/>
    <m/>
    <m/>
    <m/>
    <m/>
    <m/>
  </r>
  <r>
    <x v="22"/>
    <x v="1"/>
    <m/>
    <m/>
    <m/>
    <m/>
    <m/>
    <n v="1344.3333333333333"/>
    <m/>
    <m/>
    <m/>
    <m/>
    <m/>
    <m/>
    <m/>
    <m/>
    <m/>
    <m/>
    <m/>
    <m/>
    <m/>
    <m/>
    <m/>
    <m/>
    <m/>
  </r>
  <r>
    <x v="22"/>
    <x v="2"/>
    <m/>
    <m/>
    <m/>
    <m/>
    <m/>
    <n v="1931.7883819568642"/>
    <m/>
    <m/>
    <m/>
    <m/>
    <m/>
    <m/>
    <m/>
    <m/>
    <m/>
    <m/>
    <m/>
    <m/>
    <m/>
    <m/>
    <m/>
    <m/>
    <m/>
  </r>
  <r>
    <x v="22"/>
    <x v="3"/>
    <m/>
    <m/>
    <m/>
    <m/>
    <m/>
    <n v="2237.2256769814385"/>
    <m/>
    <m/>
    <m/>
    <m/>
    <m/>
    <m/>
    <m/>
    <m/>
    <m/>
    <m/>
    <m/>
    <m/>
    <m/>
    <m/>
    <m/>
    <m/>
    <m/>
  </r>
  <r>
    <x v="22"/>
    <x v="4"/>
    <m/>
    <m/>
    <m/>
    <m/>
    <m/>
    <n v="2190.5598421695022"/>
    <m/>
    <m/>
    <m/>
    <m/>
    <m/>
    <m/>
    <m/>
    <m/>
    <m/>
    <m/>
    <m/>
    <m/>
    <m/>
    <m/>
    <m/>
    <m/>
    <m/>
  </r>
  <r>
    <x v="22"/>
    <x v="5"/>
    <m/>
    <m/>
    <m/>
    <m/>
    <m/>
    <n v="2287.0512719677554"/>
    <m/>
    <m/>
    <m/>
    <m/>
    <m/>
    <m/>
    <m/>
    <m/>
    <m/>
    <m/>
    <m/>
    <m/>
    <m/>
    <m/>
    <m/>
    <m/>
    <m/>
  </r>
  <r>
    <x v="22"/>
    <x v="6"/>
    <m/>
    <m/>
    <m/>
    <m/>
    <m/>
    <n v="1876.6296460038093"/>
    <m/>
    <m/>
    <m/>
    <m/>
    <m/>
    <m/>
    <m/>
    <m/>
    <m/>
    <m/>
    <m/>
    <m/>
    <m/>
    <m/>
    <m/>
    <m/>
    <m/>
  </r>
  <r>
    <x v="22"/>
    <x v="7"/>
    <m/>
    <m/>
    <m/>
    <m/>
    <m/>
    <n v="12360.921485746036"/>
    <m/>
    <m/>
    <m/>
    <m/>
    <m/>
    <m/>
    <m/>
    <m/>
    <m/>
    <m/>
    <m/>
    <m/>
    <m/>
    <m/>
    <m/>
    <m/>
    <m/>
  </r>
  <r>
    <x v="22"/>
    <x v="8"/>
    <m/>
    <m/>
    <m/>
    <m/>
    <m/>
    <n v="11867.588152412703"/>
    <m/>
    <m/>
    <m/>
    <m/>
    <m/>
    <m/>
    <m/>
    <m/>
    <m/>
    <m/>
    <m/>
    <m/>
    <m/>
    <m/>
    <m/>
    <m/>
    <m/>
  </r>
  <r>
    <x v="23"/>
    <x v="0"/>
    <m/>
    <m/>
    <m/>
    <m/>
    <m/>
    <n v="125.33333333333333"/>
    <m/>
    <m/>
    <m/>
    <m/>
    <m/>
    <m/>
    <m/>
    <m/>
    <m/>
    <m/>
    <m/>
    <m/>
    <m/>
    <m/>
    <m/>
    <m/>
    <m/>
  </r>
  <r>
    <x v="23"/>
    <x v="1"/>
    <m/>
    <m/>
    <m/>
    <m/>
    <m/>
    <n v="369.79754434435245"/>
    <m/>
    <m/>
    <m/>
    <m/>
    <m/>
    <m/>
    <m/>
    <m/>
    <m/>
    <m/>
    <m/>
    <m/>
    <m/>
    <m/>
    <m/>
    <m/>
    <m/>
  </r>
  <r>
    <x v="23"/>
    <x v="2"/>
    <m/>
    <m/>
    <m/>
    <m/>
    <m/>
    <n v="629.37656738995065"/>
    <m/>
    <m/>
    <m/>
    <m/>
    <m/>
    <m/>
    <m/>
    <m/>
    <m/>
    <m/>
    <m/>
    <m/>
    <m/>
    <m/>
    <m/>
    <m/>
    <m/>
  </r>
  <r>
    <x v="23"/>
    <x v="3"/>
    <m/>
    <m/>
    <m/>
    <m/>
    <m/>
    <n v="753.715674595981"/>
    <m/>
    <m/>
    <m/>
    <m/>
    <m/>
    <m/>
    <m/>
    <m/>
    <m/>
    <m/>
    <m/>
    <m/>
    <m/>
    <m/>
    <m/>
    <m/>
    <m/>
  </r>
  <r>
    <x v="23"/>
    <x v="4"/>
    <m/>
    <m/>
    <m/>
    <m/>
    <m/>
    <n v="737.79592857208138"/>
    <m/>
    <m/>
    <m/>
    <m/>
    <m/>
    <m/>
    <m/>
    <m/>
    <m/>
    <m/>
    <m/>
    <m/>
    <m/>
    <m/>
    <m/>
    <m/>
    <m/>
  </r>
  <r>
    <x v="23"/>
    <x v="5"/>
    <m/>
    <m/>
    <m/>
    <m/>
    <m/>
    <n v="780.23699806425293"/>
    <m/>
    <m/>
    <m/>
    <m/>
    <m/>
    <m/>
    <m/>
    <m/>
    <m/>
    <m/>
    <m/>
    <m/>
    <m/>
    <m/>
    <m/>
    <m/>
    <m/>
  </r>
  <r>
    <x v="23"/>
    <x v="6"/>
    <m/>
    <m/>
    <m/>
    <m/>
    <m/>
    <n v="622.08600839461235"/>
    <m/>
    <m/>
    <m/>
    <m/>
    <m/>
    <m/>
    <m/>
    <m/>
    <m/>
    <m/>
    <m/>
    <m/>
    <m/>
    <m/>
    <m/>
    <m/>
    <m/>
  </r>
  <r>
    <x v="23"/>
    <x v="7"/>
    <m/>
    <m/>
    <m/>
    <m/>
    <m/>
    <n v="4018.342054694564"/>
    <m/>
    <m/>
    <m/>
    <m/>
    <m/>
    <m/>
    <m/>
    <m/>
    <m/>
    <m/>
    <m/>
    <m/>
    <m/>
    <m/>
    <m/>
    <m/>
    <m/>
  </r>
  <r>
    <x v="23"/>
    <x v="8"/>
    <m/>
    <m/>
    <m/>
    <m/>
    <m/>
    <n v="3893.0087213612305"/>
    <m/>
    <m/>
    <m/>
    <m/>
    <m/>
    <m/>
    <m/>
    <m/>
    <m/>
    <m/>
    <m/>
    <m/>
    <m/>
    <m/>
    <m/>
    <m/>
    <m/>
  </r>
  <r>
    <x v="24"/>
    <x v="0"/>
    <m/>
    <m/>
    <m/>
    <m/>
    <m/>
    <n v="29.333333333333332"/>
    <m/>
    <m/>
    <m/>
    <m/>
    <m/>
    <m/>
    <m/>
    <m/>
    <m/>
    <m/>
    <m/>
    <m/>
    <m/>
    <m/>
    <m/>
    <m/>
    <m/>
  </r>
  <r>
    <x v="24"/>
    <x v="1"/>
    <m/>
    <m/>
    <m/>
    <m/>
    <m/>
    <n v="121.67592384190385"/>
    <m/>
    <m/>
    <m/>
    <m/>
    <m/>
    <m/>
    <m/>
    <m/>
    <m/>
    <m/>
    <m/>
    <m/>
    <m/>
    <m/>
    <m/>
    <m/>
    <m/>
  </r>
  <r>
    <x v="24"/>
    <x v="2"/>
    <m/>
    <m/>
    <m/>
    <m/>
    <m/>
    <n v="265.56776231819526"/>
    <m/>
    <m/>
    <m/>
    <m/>
    <m/>
    <m/>
    <m/>
    <m/>
    <m/>
    <m/>
    <m/>
    <m/>
    <m/>
    <m/>
    <m/>
    <m/>
    <m/>
  </r>
  <r>
    <x v="24"/>
    <x v="3"/>
    <m/>
    <m/>
    <m/>
    <m/>
    <m/>
    <n v="334.55337789377279"/>
    <m/>
    <m/>
    <m/>
    <m/>
    <m/>
    <m/>
    <m/>
    <m/>
    <m/>
    <m/>
    <m/>
    <m/>
    <m/>
    <m/>
    <m/>
    <m/>
    <m/>
  </r>
  <r>
    <x v="24"/>
    <x v="4"/>
    <m/>
    <m/>
    <m/>
    <m/>
    <m/>
    <n v="327.35954460778203"/>
    <m/>
    <m/>
    <m/>
    <m/>
    <m/>
    <m/>
    <m/>
    <m/>
    <m/>
    <m/>
    <m/>
    <m/>
    <m/>
    <m/>
    <m/>
    <m/>
    <m/>
  </r>
  <r>
    <x v="24"/>
    <x v="5"/>
    <m/>
    <m/>
    <m/>
    <m/>
    <m/>
    <n v="352.58986132691712"/>
    <m/>
    <m/>
    <m/>
    <m/>
    <m/>
    <m/>
    <m/>
    <m/>
    <m/>
    <m/>
    <m/>
    <m/>
    <m/>
    <m/>
    <m/>
    <m/>
    <m/>
  </r>
  <r>
    <x v="24"/>
    <x v="6"/>
    <m/>
    <m/>
    <m/>
    <m/>
    <m/>
    <n v="269.59803856711159"/>
    <m/>
    <m/>
    <m/>
    <m/>
    <m/>
    <m/>
    <m/>
    <m/>
    <m/>
    <m/>
    <m/>
    <m/>
    <m/>
    <m/>
    <m/>
    <m/>
    <m/>
  </r>
  <r>
    <x v="24"/>
    <x v="7"/>
    <m/>
    <m/>
    <m/>
    <m/>
    <m/>
    <n v="1700.677841889016"/>
    <m/>
    <m/>
    <m/>
    <m/>
    <m/>
    <m/>
    <m/>
    <m/>
    <m/>
    <m/>
    <m/>
    <m/>
    <m/>
    <m/>
    <m/>
    <m/>
    <m/>
  </r>
  <r>
    <x v="24"/>
    <x v="8"/>
    <m/>
    <m/>
    <m/>
    <m/>
    <m/>
    <n v="1671.3445085556828"/>
    <m/>
    <m/>
    <m/>
    <m/>
    <m/>
    <m/>
    <m/>
    <m/>
    <m/>
    <m/>
    <m/>
    <m/>
    <m/>
    <m/>
    <m/>
    <m/>
    <m/>
  </r>
  <r>
    <x v="25"/>
    <x v="0"/>
    <m/>
    <m/>
    <m/>
    <m/>
    <m/>
    <n v="561.06666666666672"/>
    <m/>
    <m/>
    <m/>
    <m/>
    <m/>
    <m/>
    <m/>
    <m/>
    <m/>
    <m/>
    <m/>
    <m/>
    <m/>
    <m/>
    <m/>
    <m/>
    <m/>
  </r>
  <r>
    <x v="25"/>
    <x v="1"/>
    <m/>
    <m/>
    <m/>
    <m/>
    <m/>
    <n v="2091.1124692210665"/>
    <m/>
    <m/>
    <m/>
    <m/>
    <m/>
    <m/>
    <m/>
    <m/>
    <m/>
    <m/>
    <m/>
    <m/>
    <m/>
    <m/>
    <m/>
    <m/>
    <m/>
  </r>
  <r>
    <x v="25"/>
    <x v="2"/>
    <m/>
    <m/>
    <m/>
    <m/>
    <m/>
    <n v="4284.2987424095572"/>
    <m/>
    <m/>
    <m/>
    <m/>
    <m/>
    <m/>
    <m/>
    <m/>
    <m/>
    <m/>
    <m/>
    <m/>
    <m/>
    <m/>
    <m/>
    <m/>
    <m/>
  </r>
  <r>
    <x v="25"/>
    <x v="3"/>
    <m/>
    <m/>
    <m/>
    <m/>
    <m/>
    <n v="5335.5979939767567"/>
    <m/>
    <m/>
    <m/>
    <m/>
    <m/>
    <m/>
    <m/>
    <m/>
    <m/>
    <m/>
    <m/>
    <m/>
    <m/>
    <m/>
    <m/>
    <m/>
    <m/>
  </r>
  <r>
    <x v="25"/>
    <x v="4"/>
    <m/>
    <m/>
    <m/>
    <m/>
    <m/>
    <n v="5221.3197942205188"/>
    <m/>
    <m/>
    <m/>
    <m/>
    <m/>
    <m/>
    <m/>
    <m/>
    <m/>
    <m/>
    <m/>
    <m/>
    <m/>
    <m/>
    <m/>
    <m/>
    <m/>
  </r>
  <r>
    <x v="25"/>
    <x v="5"/>
    <m/>
    <m/>
    <m/>
    <m/>
    <m/>
    <n v="5601.0398903681098"/>
    <m/>
    <m/>
    <m/>
    <m/>
    <m/>
    <m/>
    <m/>
    <m/>
    <m/>
    <m/>
    <m/>
    <m/>
    <m/>
    <m/>
    <m/>
    <m/>
    <m/>
  </r>
  <r>
    <x v="25"/>
    <x v="6"/>
    <m/>
    <m/>
    <m/>
    <m/>
    <m/>
    <n v="4322.8111879631979"/>
    <m/>
    <m/>
    <m/>
    <m/>
    <m/>
    <m/>
    <m/>
    <m/>
    <m/>
    <m/>
    <m/>
    <m/>
    <m/>
    <m/>
    <m/>
    <m/>
    <m/>
  </r>
  <r>
    <x v="25"/>
    <x v="7"/>
    <m/>
    <m/>
    <m/>
    <m/>
    <m/>
    <n v="27417.246744825872"/>
    <m/>
    <m/>
    <m/>
    <m/>
    <m/>
    <m/>
    <m/>
    <m/>
    <m/>
    <m/>
    <m/>
    <m/>
    <m/>
    <m/>
    <m/>
    <m/>
    <m/>
  </r>
  <r>
    <x v="25"/>
    <x v="8"/>
    <m/>
    <m/>
    <m/>
    <m/>
    <m/>
    <n v="26856.180078159206"/>
    <m/>
    <m/>
    <m/>
    <m/>
    <m/>
    <m/>
    <m/>
    <m/>
    <m/>
    <m/>
    <m/>
    <m/>
    <m/>
    <m/>
    <m/>
    <m/>
    <m/>
  </r>
  <r>
    <x v="26"/>
    <x v="0"/>
    <m/>
    <m/>
    <m/>
    <m/>
    <m/>
    <n v="33.06666666666667"/>
    <m/>
    <m/>
    <m/>
    <m/>
    <m/>
    <m/>
    <m/>
    <m/>
    <m/>
    <m/>
    <m/>
    <m/>
    <m/>
    <m/>
    <m/>
    <m/>
    <m/>
  </r>
  <r>
    <x v="26"/>
    <x v="1"/>
    <m/>
    <m/>
    <m/>
    <m/>
    <m/>
    <n v="222.70543431981122"/>
    <m/>
    <m/>
    <m/>
    <m/>
    <m/>
    <m/>
    <m/>
    <m/>
    <m/>
    <m/>
    <m/>
    <m/>
    <m/>
    <m/>
    <m/>
    <m/>
    <m/>
  </r>
  <r>
    <x v="26"/>
    <x v="2"/>
    <m/>
    <m/>
    <m/>
    <m/>
    <m/>
    <n v="587.37360292817607"/>
    <m/>
    <m/>
    <m/>
    <m/>
    <m/>
    <m/>
    <m/>
    <m/>
    <m/>
    <m/>
    <m/>
    <m/>
    <m/>
    <m/>
    <m/>
    <m/>
    <m/>
  </r>
  <r>
    <x v="26"/>
    <x v="3"/>
    <m/>
    <m/>
    <m/>
    <m/>
    <m/>
    <n v="762.26805145549122"/>
    <m/>
    <m/>
    <m/>
    <m/>
    <m/>
    <m/>
    <m/>
    <m/>
    <m/>
    <m/>
    <m/>
    <m/>
    <m/>
    <m/>
    <m/>
    <m/>
    <m/>
  </r>
  <r>
    <x v="26"/>
    <x v="4"/>
    <m/>
    <m/>
    <m/>
    <m/>
    <m/>
    <n v="745.71344008437563"/>
    <m/>
    <m/>
    <m/>
    <m/>
    <m/>
    <m/>
    <m/>
    <m/>
    <m/>
    <m/>
    <m/>
    <m/>
    <m/>
    <m/>
    <m/>
    <m/>
    <m/>
  </r>
  <r>
    <x v="26"/>
    <x v="5"/>
    <m/>
    <m/>
    <m/>
    <m/>
    <m/>
    <n v="811.40724156963017"/>
    <m/>
    <m/>
    <m/>
    <m/>
    <m/>
    <m/>
    <m/>
    <m/>
    <m/>
    <m/>
    <m/>
    <m/>
    <m/>
    <m/>
    <m/>
    <m/>
    <m/>
  </r>
  <r>
    <x v="26"/>
    <x v="6"/>
    <m/>
    <m/>
    <m/>
    <m/>
    <m/>
    <n v="605.88667425136748"/>
    <m/>
    <m/>
    <m/>
    <m/>
    <m/>
    <m/>
    <m/>
    <m/>
    <m/>
    <m/>
    <m/>
    <m/>
    <m/>
    <m/>
    <m/>
    <m/>
    <m/>
  </r>
  <r>
    <x v="26"/>
    <x v="7"/>
    <m/>
    <m/>
    <m/>
    <m/>
    <m/>
    <n v="3768.4211112755183"/>
    <m/>
    <m/>
    <m/>
    <m/>
    <m/>
    <m/>
    <m/>
    <m/>
    <m/>
    <m/>
    <m/>
    <m/>
    <m/>
    <m/>
    <m/>
    <m/>
    <m/>
  </r>
  <r>
    <x v="26"/>
    <x v="8"/>
    <m/>
    <m/>
    <m/>
    <m/>
    <m/>
    <n v="3735.3544446088517"/>
    <m/>
    <m/>
    <m/>
    <m/>
    <m/>
    <m/>
    <m/>
    <m/>
    <m/>
    <m/>
    <m/>
    <m/>
    <m/>
    <m/>
    <m/>
    <m/>
    <m/>
  </r>
  <r>
    <x v="27"/>
    <x v="0"/>
    <m/>
    <m/>
    <m/>
    <m/>
    <m/>
    <n v="5351.4666666666672"/>
    <m/>
    <m/>
    <m/>
    <m/>
    <m/>
    <m/>
    <m/>
    <m/>
    <m/>
    <m/>
    <m/>
    <m/>
    <m/>
    <m/>
    <m/>
    <m/>
    <m/>
  </r>
  <r>
    <x v="27"/>
    <x v="1"/>
    <m/>
    <m/>
    <m/>
    <m/>
    <m/>
    <n v="22454.323215945671"/>
    <m/>
    <m/>
    <m/>
    <m/>
    <m/>
    <m/>
    <m/>
    <m/>
    <m/>
    <m/>
    <m/>
    <m/>
    <m/>
    <m/>
    <m/>
    <m/>
    <m/>
  </r>
  <r>
    <x v="27"/>
    <x v="2"/>
    <m/>
    <m/>
    <m/>
    <m/>
    <m/>
    <n v="48965.894873855577"/>
    <m/>
    <m/>
    <m/>
    <m/>
    <m/>
    <m/>
    <m/>
    <m/>
    <m/>
    <m/>
    <m/>
    <m/>
    <m/>
    <m/>
    <m/>
    <m/>
    <m/>
  </r>
  <r>
    <x v="27"/>
    <x v="3"/>
    <m/>
    <m/>
    <m/>
    <m/>
    <m/>
    <n v="61725.627084913998"/>
    <m/>
    <m/>
    <m/>
    <m/>
    <m/>
    <m/>
    <m/>
    <m/>
    <m/>
    <m/>
    <m/>
    <m/>
    <m/>
    <m/>
    <m/>
    <m/>
    <m/>
  </r>
  <r>
    <x v="27"/>
    <x v="4"/>
    <m/>
    <m/>
    <m/>
    <m/>
    <m/>
    <n v="60398.059767405284"/>
    <m/>
    <m/>
    <m/>
    <m/>
    <m/>
    <m/>
    <m/>
    <m/>
    <m/>
    <m/>
    <m/>
    <m/>
    <m/>
    <m/>
    <m/>
    <m/>
    <m/>
  </r>
  <r>
    <x v="27"/>
    <x v="5"/>
    <m/>
    <m/>
    <m/>
    <m/>
    <m/>
    <n v="65067.817040069996"/>
    <m/>
    <m/>
    <m/>
    <m/>
    <m/>
    <m/>
    <m/>
    <m/>
    <m/>
    <m/>
    <m/>
    <m/>
    <m/>
    <m/>
    <m/>
    <m/>
    <m/>
  </r>
  <r>
    <x v="27"/>
    <x v="6"/>
    <m/>
    <m/>
    <m/>
    <m/>
    <m/>
    <n v="49726.225472570884"/>
    <m/>
    <m/>
    <m/>
    <m/>
    <m/>
    <m/>
    <m/>
    <m/>
    <m/>
    <m/>
    <m/>
    <m/>
    <m/>
    <m/>
    <m/>
    <m/>
    <m/>
  </r>
  <r>
    <x v="27"/>
    <x v="7"/>
    <m/>
    <m/>
    <m/>
    <m/>
    <m/>
    <n v="313689.41412142804"/>
    <m/>
    <m/>
    <m/>
    <m/>
    <m/>
    <m/>
    <m/>
    <m/>
    <m/>
    <m/>
    <m/>
    <m/>
    <m/>
    <m/>
    <m/>
    <m/>
    <m/>
  </r>
  <r>
    <x v="27"/>
    <x v="8"/>
    <m/>
    <m/>
    <m/>
    <m/>
    <m/>
    <n v="308337.94745476136"/>
    <m/>
    <m/>
    <m/>
    <m/>
    <m/>
    <m/>
    <m/>
    <m/>
    <m/>
    <m/>
    <m/>
    <m/>
    <m/>
    <m/>
    <m/>
    <m/>
    <m/>
  </r>
  <r>
    <x v="0"/>
    <x v="0"/>
    <m/>
    <m/>
    <m/>
    <m/>
    <m/>
    <m/>
    <n v="17.8"/>
    <m/>
    <m/>
    <m/>
    <m/>
    <m/>
    <m/>
    <m/>
    <m/>
    <m/>
    <m/>
    <m/>
    <m/>
    <m/>
    <m/>
    <m/>
    <m/>
  </r>
  <r>
    <x v="0"/>
    <x v="1"/>
    <m/>
    <m/>
    <m/>
    <m/>
    <m/>
    <m/>
    <n v="48.504999999999995"/>
    <m/>
    <m/>
    <m/>
    <m/>
    <m/>
    <m/>
    <m/>
    <m/>
    <m/>
    <m/>
    <m/>
    <m/>
    <m/>
    <m/>
    <m/>
    <m/>
  </r>
  <r>
    <x v="0"/>
    <x v="2"/>
    <m/>
    <m/>
    <m/>
    <m/>
    <m/>
    <m/>
    <n v="46.725000000000001"/>
    <m/>
    <m/>
    <m/>
    <m/>
    <m/>
    <m/>
    <m/>
    <m/>
    <m/>
    <m/>
    <m/>
    <m/>
    <m/>
    <m/>
    <m/>
    <m/>
  </r>
  <r>
    <x v="0"/>
    <x v="3"/>
    <m/>
    <m/>
    <m/>
    <m/>
    <m/>
    <m/>
    <n v="45.835000000000001"/>
    <m/>
    <m/>
    <m/>
    <m/>
    <m/>
    <m/>
    <m/>
    <m/>
    <m/>
    <m/>
    <m/>
    <m/>
    <m/>
    <m/>
    <m/>
    <m/>
  </r>
  <r>
    <x v="0"/>
    <x v="4"/>
    <m/>
    <m/>
    <m/>
    <m/>
    <m/>
    <m/>
    <n v="44.945"/>
    <m/>
    <m/>
    <m/>
    <m/>
    <m/>
    <m/>
    <m/>
    <m/>
    <m/>
    <m/>
    <m/>
    <m/>
    <m/>
    <m/>
    <m/>
    <m/>
  </r>
  <r>
    <x v="0"/>
    <x v="5"/>
    <m/>
    <m/>
    <m/>
    <m/>
    <m/>
    <m/>
    <n v="43.61"/>
    <m/>
    <m/>
    <m/>
    <m/>
    <m/>
    <m/>
    <m/>
    <m/>
    <m/>
    <m/>
    <m/>
    <m/>
    <m/>
    <m/>
    <m/>
    <m/>
  </r>
  <r>
    <x v="0"/>
    <x v="6"/>
    <m/>
    <m/>
    <m/>
    <m/>
    <m/>
    <m/>
    <n v="41.83"/>
    <m/>
    <m/>
    <m/>
    <m/>
    <m/>
    <m/>
    <m/>
    <m/>
    <m/>
    <m/>
    <m/>
    <m/>
    <m/>
    <m/>
    <m/>
    <m/>
  </r>
  <r>
    <x v="0"/>
    <x v="7"/>
    <m/>
    <m/>
    <m/>
    <m/>
    <m/>
    <m/>
    <n v="289.4896266336475"/>
    <m/>
    <m/>
    <m/>
    <m/>
    <m/>
    <m/>
    <m/>
    <m/>
    <m/>
    <m/>
    <m/>
    <m/>
    <m/>
    <m/>
    <m/>
    <m/>
  </r>
  <r>
    <x v="0"/>
    <x v="8"/>
    <m/>
    <m/>
    <m/>
    <m/>
    <m/>
    <m/>
    <n v="0"/>
    <m/>
    <m/>
    <m/>
    <m/>
    <m/>
    <m/>
    <m/>
    <m/>
    <m/>
    <m/>
    <m/>
    <m/>
    <m/>
    <m/>
    <m/>
    <m/>
  </r>
  <r>
    <x v="1"/>
    <x v="0"/>
    <m/>
    <m/>
    <m/>
    <m/>
    <m/>
    <m/>
    <n v="51"/>
    <m/>
    <m/>
    <m/>
    <m/>
    <m/>
    <m/>
    <m/>
    <m/>
    <m/>
    <m/>
    <m/>
    <m/>
    <m/>
    <m/>
    <m/>
    <m/>
  </r>
  <r>
    <x v="1"/>
    <x v="1"/>
    <m/>
    <m/>
    <m/>
    <m/>
    <m/>
    <m/>
    <n v="138.97499999999999"/>
    <m/>
    <m/>
    <m/>
    <m/>
    <m/>
    <m/>
    <m/>
    <m/>
    <m/>
    <m/>
    <m/>
    <m/>
    <m/>
    <m/>
    <m/>
    <m/>
  </r>
  <r>
    <x v="1"/>
    <x v="2"/>
    <m/>
    <m/>
    <m/>
    <m/>
    <m/>
    <m/>
    <n v="133.875"/>
    <m/>
    <m/>
    <m/>
    <m/>
    <m/>
    <m/>
    <m/>
    <m/>
    <m/>
    <m/>
    <m/>
    <m/>
    <m/>
    <m/>
    <m/>
    <m/>
  </r>
  <r>
    <x v="1"/>
    <x v="3"/>
    <m/>
    <m/>
    <m/>
    <m/>
    <m/>
    <m/>
    <n v="131.32499999999999"/>
    <m/>
    <m/>
    <m/>
    <m/>
    <m/>
    <m/>
    <m/>
    <m/>
    <m/>
    <m/>
    <m/>
    <m/>
    <m/>
    <m/>
    <m/>
    <m/>
  </r>
  <r>
    <x v="1"/>
    <x v="4"/>
    <m/>
    <m/>
    <m/>
    <m/>
    <m/>
    <m/>
    <n v="128.77500000000001"/>
    <m/>
    <m/>
    <m/>
    <m/>
    <m/>
    <m/>
    <m/>
    <m/>
    <m/>
    <m/>
    <m/>
    <m/>
    <m/>
    <m/>
    <m/>
    <m/>
  </r>
  <r>
    <x v="1"/>
    <x v="5"/>
    <m/>
    <m/>
    <m/>
    <m/>
    <m/>
    <m/>
    <n v="124.94999999999999"/>
    <m/>
    <m/>
    <m/>
    <m/>
    <m/>
    <m/>
    <m/>
    <m/>
    <m/>
    <m/>
    <m/>
    <m/>
    <m/>
    <m/>
    <m/>
    <m/>
  </r>
  <r>
    <x v="1"/>
    <x v="6"/>
    <m/>
    <m/>
    <m/>
    <m/>
    <m/>
    <m/>
    <n v="119.85"/>
    <m/>
    <m/>
    <m/>
    <m/>
    <m/>
    <m/>
    <m/>
    <m/>
    <m/>
    <m/>
    <m/>
    <m/>
    <m/>
    <m/>
    <m/>
    <m/>
  </r>
  <r>
    <x v="1"/>
    <x v="7"/>
    <m/>
    <m/>
    <m/>
    <m/>
    <m/>
    <m/>
    <n v="829.86493816966367"/>
    <m/>
    <m/>
    <m/>
    <m/>
    <m/>
    <m/>
    <m/>
    <m/>
    <m/>
    <m/>
    <m/>
    <m/>
    <m/>
    <m/>
    <m/>
    <m/>
  </r>
  <r>
    <x v="1"/>
    <x v="8"/>
    <m/>
    <m/>
    <m/>
    <m/>
    <m/>
    <m/>
    <n v="0"/>
    <m/>
    <m/>
    <m/>
    <m/>
    <m/>
    <m/>
    <m/>
    <m/>
    <m/>
    <m/>
    <m/>
    <m/>
    <m/>
    <m/>
    <m/>
    <m/>
  </r>
  <r>
    <x v="2"/>
    <x v="0"/>
    <m/>
    <m/>
    <m/>
    <m/>
    <m/>
    <m/>
    <n v="77"/>
    <m/>
    <m/>
    <m/>
    <m/>
    <m/>
    <m/>
    <m/>
    <m/>
    <m/>
    <m/>
    <m/>
    <m/>
    <m/>
    <m/>
    <m/>
    <m/>
  </r>
  <r>
    <x v="2"/>
    <x v="1"/>
    <m/>
    <m/>
    <m/>
    <m/>
    <m/>
    <m/>
    <n v="209.82499999999999"/>
    <m/>
    <m/>
    <m/>
    <m/>
    <m/>
    <m/>
    <m/>
    <m/>
    <m/>
    <m/>
    <m/>
    <m/>
    <m/>
    <m/>
    <m/>
    <m/>
  </r>
  <r>
    <x v="2"/>
    <x v="2"/>
    <m/>
    <m/>
    <m/>
    <m/>
    <m/>
    <m/>
    <n v="202.125"/>
    <m/>
    <m/>
    <m/>
    <m/>
    <m/>
    <m/>
    <m/>
    <m/>
    <m/>
    <m/>
    <m/>
    <m/>
    <m/>
    <m/>
    <m/>
    <m/>
  </r>
  <r>
    <x v="2"/>
    <x v="3"/>
    <m/>
    <m/>
    <m/>
    <m/>
    <m/>
    <m/>
    <n v="198.27500000000001"/>
    <m/>
    <m/>
    <m/>
    <m/>
    <m/>
    <m/>
    <m/>
    <m/>
    <m/>
    <m/>
    <m/>
    <m/>
    <m/>
    <m/>
    <m/>
    <m/>
  </r>
  <r>
    <x v="2"/>
    <x v="4"/>
    <m/>
    <m/>
    <m/>
    <m/>
    <m/>
    <m/>
    <n v="194.42500000000001"/>
    <m/>
    <m/>
    <m/>
    <m/>
    <m/>
    <m/>
    <m/>
    <m/>
    <m/>
    <m/>
    <m/>
    <m/>
    <m/>
    <m/>
    <m/>
    <m/>
  </r>
  <r>
    <x v="2"/>
    <x v="5"/>
    <m/>
    <m/>
    <m/>
    <m/>
    <m/>
    <m/>
    <n v="188.65"/>
    <m/>
    <m/>
    <m/>
    <m/>
    <m/>
    <m/>
    <m/>
    <m/>
    <m/>
    <m/>
    <m/>
    <m/>
    <m/>
    <m/>
    <m/>
    <m/>
  </r>
  <r>
    <x v="2"/>
    <x v="6"/>
    <m/>
    <m/>
    <m/>
    <m/>
    <m/>
    <m/>
    <n v="180.95"/>
    <m/>
    <m/>
    <m/>
    <m/>
    <m/>
    <m/>
    <m/>
    <m/>
    <m/>
    <m/>
    <m/>
    <m/>
    <m/>
    <m/>
    <m/>
    <m/>
  </r>
  <r>
    <x v="2"/>
    <x v="7"/>
    <m/>
    <m/>
    <m/>
    <m/>
    <m/>
    <m/>
    <n v="1249.7451401540497"/>
    <m/>
    <m/>
    <m/>
    <m/>
    <m/>
    <m/>
    <m/>
    <m/>
    <m/>
    <m/>
    <m/>
    <m/>
    <m/>
    <m/>
    <m/>
    <m/>
  </r>
  <r>
    <x v="2"/>
    <x v="8"/>
    <m/>
    <m/>
    <m/>
    <m/>
    <m/>
    <m/>
    <n v="0"/>
    <m/>
    <m/>
    <m/>
    <m/>
    <m/>
    <m/>
    <m/>
    <m/>
    <m/>
    <m/>
    <m/>
    <m/>
    <m/>
    <m/>
    <m/>
    <m/>
  </r>
  <r>
    <x v="3"/>
    <x v="0"/>
    <m/>
    <m/>
    <m/>
    <m/>
    <m/>
    <m/>
    <n v="38.800000000000004"/>
    <m/>
    <m/>
    <m/>
    <m/>
    <m/>
    <m/>
    <m/>
    <m/>
    <m/>
    <m/>
    <m/>
    <m/>
    <m/>
    <m/>
    <m/>
    <m/>
  </r>
  <r>
    <x v="3"/>
    <x v="1"/>
    <m/>
    <m/>
    <m/>
    <m/>
    <m/>
    <m/>
    <n v="105.72999999999999"/>
    <m/>
    <m/>
    <m/>
    <m/>
    <m/>
    <m/>
    <m/>
    <m/>
    <m/>
    <m/>
    <m/>
    <m/>
    <m/>
    <m/>
    <m/>
    <m/>
  </r>
  <r>
    <x v="3"/>
    <x v="2"/>
    <m/>
    <m/>
    <m/>
    <m/>
    <m/>
    <m/>
    <n v="101.85000000000001"/>
    <m/>
    <m/>
    <m/>
    <m/>
    <m/>
    <m/>
    <m/>
    <m/>
    <m/>
    <m/>
    <m/>
    <m/>
    <m/>
    <m/>
    <m/>
    <m/>
  </r>
  <r>
    <x v="3"/>
    <x v="3"/>
    <m/>
    <m/>
    <m/>
    <m/>
    <m/>
    <m/>
    <n v="99.91"/>
    <m/>
    <m/>
    <m/>
    <m/>
    <m/>
    <m/>
    <m/>
    <m/>
    <m/>
    <m/>
    <m/>
    <m/>
    <m/>
    <m/>
    <m/>
    <m/>
  </r>
  <r>
    <x v="3"/>
    <x v="4"/>
    <m/>
    <m/>
    <m/>
    <m/>
    <m/>
    <m/>
    <n v="97.97"/>
    <m/>
    <m/>
    <m/>
    <m/>
    <m/>
    <m/>
    <m/>
    <m/>
    <m/>
    <m/>
    <m/>
    <m/>
    <m/>
    <m/>
    <m/>
    <m/>
  </r>
  <r>
    <x v="3"/>
    <x v="5"/>
    <m/>
    <m/>
    <m/>
    <m/>
    <m/>
    <m/>
    <n v="95.06"/>
    <m/>
    <m/>
    <m/>
    <m/>
    <m/>
    <m/>
    <m/>
    <m/>
    <m/>
    <m/>
    <m/>
    <m/>
    <m/>
    <m/>
    <m/>
    <m/>
  </r>
  <r>
    <x v="3"/>
    <x v="6"/>
    <m/>
    <m/>
    <m/>
    <m/>
    <m/>
    <m/>
    <n v="91.18"/>
    <m/>
    <m/>
    <m/>
    <m/>
    <m/>
    <m/>
    <m/>
    <m/>
    <m/>
    <m/>
    <m/>
    <m/>
    <m/>
    <m/>
    <m/>
    <m/>
  </r>
  <r>
    <x v="3"/>
    <x v="7"/>
    <m/>
    <m/>
    <m/>
    <m/>
    <m/>
    <m/>
    <n v="631.53594951228467"/>
    <m/>
    <m/>
    <m/>
    <m/>
    <m/>
    <m/>
    <m/>
    <m/>
    <m/>
    <m/>
    <m/>
    <m/>
    <m/>
    <m/>
    <m/>
    <m/>
  </r>
  <r>
    <x v="3"/>
    <x v="8"/>
    <m/>
    <m/>
    <m/>
    <m/>
    <m/>
    <m/>
    <n v="0"/>
    <m/>
    <m/>
    <m/>
    <m/>
    <m/>
    <m/>
    <m/>
    <m/>
    <m/>
    <m/>
    <m/>
    <m/>
    <m/>
    <m/>
    <m/>
    <m/>
  </r>
  <r>
    <x v="4"/>
    <x v="0"/>
    <m/>
    <m/>
    <m/>
    <m/>
    <m/>
    <m/>
    <n v="4"/>
    <m/>
    <m/>
    <m/>
    <m/>
    <m/>
    <m/>
    <m/>
    <m/>
    <m/>
    <m/>
    <m/>
    <m/>
    <m/>
    <m/>
    <m/>
    <m/>
  </r>
  <r>
    <x v="4"/>
    <x v="1"/>
    <m/>
    <m/>
    <m/>
    <m/>
    <m/>
    <m/>
    <n v="10.9"/>
    <m/>
    <m/>
    <m/>
    <m/>
    <m/>
    <m/>
    <m/>
    <m/>
    <m/>
    <m/>
    <m/>
    <m/>
    <m/>
    <m/>
    <m/>
    <m/>
  </r>
  <r>
    <x v="4"/>
    <x v="2"/>
    <m/>
    <m/>
    <m/>
    <m/>
    <m/>
    <m/>
    <n v="10.5"/>
    <m/>
    <m/>
    <m/>
    <m/>
    <m/>
    <m/>
    <m/>
    <m/>
    <m/>
    <m/>
    <m/>
    <m/>
    <m/>
    <m/>
    <m/>
    <m/>
  </r>
  <r>
    <x v="4"/>
    <x v="3"/>
    <m/>
    <m/>
    <m/>
    <m/>
    <m/>
    <m/>
    <n v="10.3"/>
    <m/>
    <m/>
    <m/>
    <m/>
    <m/>
    <m/>
    <m/>
    <m/>
    <m/>
    <m/>
    <m/>
    <m/>
    <m/>
    <m/>
    <m/>
    <m/>
  </r>
  <r>
    <x v="4"/>
    <x v="4"/>
    <m/>
    <m/>
    <m/>
    <m/>
    <m/>
    <m/>
    <n v="10.1"/>
    <m/>
    <m/>
    <m/>
    <m/>
    <m/>
    <m/>
    <m/>
    <m/>
    <m/>
    <m/>
    <m/>
    <m/>
    <m/>
    <m/>
    <m/>
    <m/>
  </r>
  <r>
    <x v="4"/>
    <x v="5"/>
    <m/>
    <m/>
    <m/>
    <m/>
    <m/>
    <m/>
    <n v="9.8000000000000007"/>
    <m/>
    <m/>
    <m/>
    <m/>
    <m/>
    <m/>
    <m/>
    <m/>
    <m/>
    <m/>
    <m/>
    <m/>
    <m/>
    <m/>
    <m/>
    <m/>
  </r>
  <r>
    <x v="4"/>
    <x v="6"/>
    <m/>
    <m/>
    <m/>
    <m/>
    <m/>
    <m/>
    <n v="9.4"/>
    <m/>
    <m/>
    <m/>
    <m/>
    <m/>
    <m/>
    <m/>
    <m/>
    <m/>
    <m/>
    <m/>
    <m/>
    <m/>
    <m/>
    <m/>
    <m/>
  </r>
  <r>
    <x v="4"/>
    <x v="7"/>
    <m/>
    <m/>
    <m/>
    <m/>
    <m/>
    <m/>
    <n v="65.561453665725836"/>
    <m/>
    <m/>
    <m/>
    <m/>
    <m/>
    <m/>
    <m/>
    <m/>
    <m/>
    <m/>
    <m/>
    <m/>
    <m/>
    <m/>
    <m/>
    <m/>
  </r>
  <r>
    <x v="4"/>
    <x v="8"/>
    <m/>
    <m/>
    <m/>
    <m/>
    <m/>
    <m/>
    <n v="0"/>
    <m/>
    <m/>
    <m/>
    <m/>
    <m/>
    <m/>
    <m/>
    <m/>
    <m/>
    <m/>
    <m/>
    <m/>
    <m/>
    <m/>
    <m/>
    <m/>
  </r>
  <r>
    <x v="5"/>
    <x v="0"/>
    <m/>
    <m/>
    <m/>
    <m/>
    <m/>
    <m/>
    <n v="48"/>
    <m/>
    <m/>
    <m/>
    <m/>
    <m/>
    <m/>
    <m/>
    <m/>
    <m/>
    <m/>
    <m/>
    <m/>
    <m/>
    <m/>
    <m/>
    <m/>
  </r>
  <r>
    <x v="5"/>
    <x v="1"/>
    <m/>
    <m/>
    <m/>
    <m/>
    <m/>
    <m/>
    <n v="130.80000000000001"/>
    <m/>
    <m/>
    <m/>
    <m/>
    <m/>
    <m/>
    <m/>
    <m/>
    <m/>
    <m/>
    <m/>
    <m/>
    <m/>
    <m/>
    <m/>
    <m/>
  </r>
  <r>
    <x v="5"/>
    <x v="2"/>
    <m/>
    <m/>
    <m/>
    <m/>
    <m/>
    <m/>
    <n v="126"/>
    <m/>
    <m/>
    <m/>
    <m/>
    <m/>
    <m/>
    <m/>
    <m/>
    <m/>
    <m/>
    <m/>
    <m/>
    <m/>
    <m/>
    <m/>
    <m/>
  </r>
  <r>
    <x v="5"/>
    <x v="3"/>
    <m/>
    <m/>
    <m/>
    <m/>
    <m/>
    <m/>
    <n v="123.60000000000001"/>
    <m/>
    <m/>
    <m/>
    <m/>
    <m/>
    <m/>
    <m/>
    <m/>
    <m/>
    <m/>
    <m/>
    <m/>
    <m/>
    <m/>
    <m/>
    <m/>
  </r>
  <r>
    <x v="5"/>
    <x v="4"/>
    <m/>
    <m/>
    <m/>
    <m/>
    <m/>
    <m/>
    <n v="121.19999999999999"/>
    <m/>
    <m/>
    <m/>
    <m/>
    <m/>
    <m/>
    <m/>
    <m/>
    <m/>
    <m/>
    <m/>
    <m/>
    <m/>
    <m/>
    <m/>
    <m/>
  </r>
  <r>
    <x v="5"/>
    <x v="5"/>
    <m/>
    <m/>
    <m/>
    <m/>
    <m/>
    <m/>
    <n v="117.60000000000001"/>
    <m/>
    <m/>
    <m/>
    <m/>
    <m/>
    <m/>
    <m/>
    <m/>
    <m/>
    <m/>
    <m/>
    <m/>
    <m/>
    <m/>
    <m/>
    <m/>
  </r>
  <r>
    <x v="5"/>
    <x v="6"/>
    <m/>
    <m/>
    <m/>
    <m/>
    <m/>
    <m/>
    <n v="112.80000000000001"/>
    <m/>
    <m/>
    <m/>
    <m/>
    <m/>
    <m/>
    <m/>
    <m/>
    <m/>
    <m/>
    <m/>
    <m/>
    <m/>
    <m/>
    <m/>
    <m/>
  </r>
  <r>
    <x v="5"/>
    <x v="7"/>
    <m/>
    <m/>
    <m/>
    <m/>
    <m/>
    <m/>
    <n v="780.81723669646726"/>
    <m/>
    <m/>
    <m/>
    <m/>
    <m/>
    <m/>
    <m/>
    <m/>
    <m/>
    <m/>
    <m/>
    <m/>
    <m/>
    <m/>
    <m/>
    <m/>
  </r>
  <r>
    <x v="5"/>
    <x v="8"/>
    <m/>
    <m/>
    <m/>
    <m/>
    <m/>
    <m/>
    <n v="0"/>
    <m/>
    <m/>
    <m/>
    <m/>
    <m/>
    <m/>
    <m/>
    <m/>
    <m/>
    <m/>
    <m/>
    <m/>
    <m/>
    <m/>
    <m/>
    <m/>
  </r>
  <r>
    <x v="6"/>
    <x v="0"/>
    <m/>
    <m/>
    <m/>
    <m/>
    <m/>
    <m/>
    <n v="10"/>
    <m/>
    <m/>
    <m/>
    <m/>
    <m/>
    <m/>
    <m/>
    <m/>
    <m/>
    <m/>
    <m/>
    <m/>
    <m/>
    <m/>
    <m/>
    <m/>
  </r>
  <r>
    <x v="6"/>
    <x v="1"/>
    <m/>
    <m/>
    <m/>
    <m/>
    <m/>
    <m/>
    <n v="27.25"/>
    <m/>
    <m/>
    <m/>
    <m/>
    <m/>
    <m/>
    <m/>
    <m/>
    <m/>
    <m/>
    <m/>
    <m/>
    <m/>
    <m/>
    <m/>
    <m/>
  </r>
  <r>
    <x v="6"/>
    <x v="2"/>
    <m/>
    <m/>
    <m/>
    <m/>
    <m/>
    <m/>
    <n v="26.25"/>
    <m/>
    <m/>
    <m/>
    <m/>
    <m/>
    <m/>
    <m/>
    <m/>
    <m/>
    <m/>
    <m/>
    <m/>
    <m/>
    <m/>
    <m/>
    <m/>
  </r>
  <r>
    <x v="6"/>
    <x v="3"/>
    <m/>
    <m/>
    <m/>
    <m/>
    <m/>
    <m/>
    <n v="25.75"/>
    <m/>
    <m/>
    <m/>
    <m/>
    <m/>
    <m/>
    <m/>
    <m/>
    <m/>
    <m/>
    <m/>
    <m/>
    <m/>
    <m/>
    <m/>
    <m/>
  </r>
  <r>
    <x v="6"/>
    <x v="4"/>
    <m/>
    <m/>
    <m/>
    <m/>
    <m/>
    <m/>
    <n v="25.25"/>
    <m/>
    <m/>
    <m/>
    <m/>
    <m/>
    <m/>
    <m/>
    <m/>
    <m/>
    <m/>
    <m/>
    <m/>
    <m/>
    <m/>
    <m/>
    <m/>
  </r>
  <r>
    <x v="6"/>
    <x v="5"/>
    <m/>
    <m/>
    <m/>
    <m/>
    <m/>
    <m/>
    <n v="24.5"/>
    <m/>
    <m/>
    <m/>
    <m/>
    <m/>
    <m/>
    <m/>
    <m/>
    <m/>
    <m/>
    <m/>
    <m/>
    <m/>
    <m/>
    <m/>
    <m/>
  </r>
  <r>
    <x v="6"/>
    <x v="6"/>
    <m/>
    <m/>
    <m/>
    <m/>
    <m/>
    <m/>
    <n v="23.5"/>
    <m/>
    <m/>
    <m/>
    <m/>
    <m/>
    <m/>
    <m/>
    <m/>
    <m/>
    <m/>
    <m/>
    <m/>
    <m/>
    <m/>
    <m/>
    <m/>
  </r>
  <r>
    <x v="6"/>
    <x v="7"/>
    <m/>
    <m/>
    <m/>
    <m/>
    <m/>
    <m/>
    <n v="162.50775622178804"/>
    <m/>
    <m/>
    <m/>
    <m/>
    <m/>
    <m/>
    <m/>
    <m/>
    <m/>
    <m/>
    <m/>
    <m/>
    <m/>
    <m/>
    <m/>
    <m/>
  </r>
  <r>
    <x v="6"/>
    <x v="8"/>
    <m/>
    <m/>
    <m/>
    <m/>
    <m/>
    <m/>
    <n v="0"/>
    <m/>
    <m/>
    <m/>
    <m/>
    <m/>
    <m/>
    <m/>
    <m/>
    <m/>
    <m/>
    <m/>
    <m/>
    <m/>
    <m/>
    <m/>
    <m/>
  </r>
  <r>
    <x v="7"/>
    <x v="0"/>
    <m/>
    <m/>
    <m/>
    <m/>
    <m/>
    <m/>
    <n v="5.8"/>
    <m/>
    <m/>
    <m/>
    <m/>
    <m/>
    <m/>
    <m/>
    <m/>
    <m/>
    <m/>
    <m/>
    <m/>
    <m/>
    <m/>
    <m/>
    <m/>
  </r>
  <r>
    <x v="7"/>
    <x v="1"/>
    <m/>
    <m/>
    <m/>
    <m/>
    <m/>
    <m/>
    <n v="15.805"/>
    <m/>
    <m/>
    <m/>
    <m/>
    <m/>
    <m/>
    <m/>
    <m/>
    <m/>
    <m/>
    <m/>
    <m/>
    <m/>
    <m/>
    <m/>
    <m/>
  </r>
  <r>
    <x v="7"/>
    <x v="2"/>
    <m/>
    <m/>
    <m/>
    <m/>
    <m/>
    <m/>
    <n v="15.225000000000001"/>
    <m/>
    <m/>
    <m/>
    <m/>
    <m/>
    <m/>
    <m/>
    <m/>
    <m/>
    <m/>
    <m/>
    <m/>
    <m/>
    <m/>
    <m/>
    <m/>
  </r>
  <r>
    <x v="7"/>
    <x v="3"/>
    <m/>
    <m/>
    <m/>
    <m/>
    <m/>
    <m/>
    <n v="14.934999999999999"/>
    <m/>
    <m/>
    <m/>
    <m/>
    <m/>
    <m/>
    <m/>
    <m/>
    <m/>
    <m/>
    <m/>
    <m/>
    <m/>
    <m/>
    <m/>
    <m/>
  </r>
  <r>
    <x v="7"/>
    <x v="4"/>
    <m/>
    <m/>
    <m/>
    <m/>
    <m/>
    <m/>
    <n v="14.645"/>
    <m/>
    <m/>
    <m/>
    <m/>
    <m/>
    <m/>
    <m/>
    <m/>
    <m/>
    <m/>
    <m/>
    <m/>
    <m/>
    <m/>
    <m/>
    <m/>
  </r>
  <r>
    <x v="7"/>
    <x v="5"/>
    <m/>
    <m/>
    <m/>
    <m/>
    <m/>
    <m/>
    <n v="14.209999999999999"/>
    <m/>
    <m/>
    <m/>
    <m/>
    <m/>
    <m/>
    <m/>
    <m/>
    <m/>
    <m/>
    <m/>
    <m/>
    <m/>
    <m/>
    <m/>
    <m/>
  </r>
  <r>
    <x v="7"/>
    <x v="6"/>
    <m/>
    <m/>
    <m/>
    <m/>
    <m/>
    <m/>
    <n v="13.629999999999999"/>
    <m/>
    <m/>
    <m/>
    <m/>
    <m/>
    <m/>
    <m/>
    <m/>
    <m/>
    <m/>
    <m/>
    <m/>
    <m/>
    <m/>
    <m/>
    <m/>
  </r>
  <r>
    <x v="7"/>
    <x v="7"/>
    <m/>
    <m/>
    <m/>
    <m/>
    <m/>
    <m/>
    <n v="93.122285389056202"/>
    <m/>
    <m/>
    <m/>
    <m/>
    <m/>
    <m/>
    <m/>
    <m/>
    <m/>
    <m/>
    <m/>
    <m/>
    <m/>
    <m/>
    <m/>
    <m/>
  </r>
  <r>
    <x v="7"/>
    <x v="8"/>
    <m/>
    <m/>
    <m/>
    <m/>
    <m/>
    <m/>
    <n v="0"/>
    <m/>
    <m/>
    <m/>
    <m/>
    <m/>
    <m/>
    <m/>
    <m/>
    <m/>
    <m/>
    <m/>
    <m/>
    <m/>
    <m/>
    <m/>
    <m/>
  </r>
  <r>
    <x v="8"/>
    <x v="0"/>
    <m/>
    <m/>
    <m/>
    <m/>
    <m/>
    <m/>
    <n v="17.8"/>
    <m/>
    <m/>
    <m/>
    <m/>
    <m/>
    <m/>
    <m/>
    <m/>
    <m/>
    <m/>
    <m/>
    <m/>
    <m/>
    <m/>
    <m/>
    <m/>
  </r>
  <r>
    <x v="8"/>
    <x v="1"/>
    <m/>
    <m/>
    <m/>
    <m/>
    <m/>
    <m/>
    <n v="48.504999999999995"/>
    <m/>
    <m/>
    <m/>
    <m/>
    <m/>
    <m/>
    <m/>
    <m/>
    <m/>
    <m/>
    <m/>
    <m/>
    <m/>
    <m/>
    <m/>
    <m/>
  </r>
  <r>
    <x v="8"/>
    <x v="2"/>
    <m/>
    <m/>
    <m/>
    <m/>
    <m/>
    <m/>
    <n v="46.725000000000001"/>
    <m/>
    <m/>
    <m/>
    <m/>
    <m/>
    <m/>
    <m/>
    <m/>
    <m/>
    <m/>
    <m/>
    <m/>
    <m/>
    <m/>
    <m/>
    <m/>
  </r>
  <r>
    <x v="8"/>
    <x v="3"/>
    <m/>
    <m/>
    <m/>
    <m/>
    <m/>
    <m/>
    <n v="45.835000000000001"/>
    <m/>
    <m/>
    <m/>
    <m/>
    <m/>
    <m/>
    <m/>
    <m/>
    <m/>
    <m/>
    <m/>
    <m/>
    <m/>
    <m/>
    <m/>
    <m/>
  </r>
  <r>
    <x v="8"/>
    <x v="4"/>
    <m/>
    <m/>
    <m/>
    <m/>
    <m/>
    <m/>
    <n v="44.945"/>
    <m/>
    <m/>
    <m/>
    <m/>
    <m/>
    <m/>
    <m/>
    <m/>
    <m/>
    <m/>
    <m/>
    <m/>
    <m/>
    <m/>
    <m/>
    <m/>
  </r>
  <r>
    <x v="8"/>
    <x v="5"/>
    <m/>
    <m/>
    <m/>
    <m/>
    <m/>
    <m/>
    <n v="43.61"/>
    <m/>
    <m/>
    <m/>
    <m/>
    <m/>
    <m/>
    <m/>
    <m/>
    <m/>
    <m/>
    <m/>
    <m/>
    <m/>
    <m/>
    <m/>
    <m/>
  </r>
  <r>
    <x v="8"/>
    <x v="6"/>
    <m/>
    <m/>
    <m/>
    <m/>
    <m/>
    <m/>
    <n v="41.83"/>
    <m/>
    <m/>
    <m/>
    <m/>
    <m/>
    <m/>
    <m/>
    <m/>
    <m/>
    <m/>
    <m/>
    <m/>
    <m/>
    <m/>
    <m/>
    <m/>
  </r>
  <r>
    <x v="8"/>
    <x v="7"/>
    <m/>
    <m/>
    <m/>
    <m/>
    <m/>
    <m/>
    <n v="174.07911192283603"/>
    <m/>
    <m/>
    <m/>
    <m/>
    <m/>
    <m/>
    <m/>
    <m/>
    <m/>
    <m/>
    <m/>
    <m/>
    <m/>
    <m/>
    <m/>
    <m/>
  </r>
  <r>
    <x v="8"/>
    <x v="8"/>
    <m/>
    <m/>
    <m/>
    <m/>
    <m/>
    <m/>
    <n v="0"/>
    <m/>
    <m/>
    <m/>
    <m/>
    <m/>
    <m/>
    <m/>
    <m/>
    <m/>
    <m/>
    <m/>
    <m/>
    <m/>
    <m/>
    <m/>
    <m/>
  </r>
  <r>
    <x v="9"/>
    <x v="0"/>
    <m/>
    <m/>
    <m/>
    <m/>
    <m/>
    <m/>
    <n v="223.8"/>
    <m/>
    <m/>
    <m/>
    <m/>
    <m/>
    <m/>
    <m/>
    <m/>
    <m/>
    <m/>
    <m/>
    <m/>
    <m/>
    <m/>
    <m/>
    <m/>
  </r>
  <r>
    <x v="9"/>
    <x v="1"/>
    <m/>
    <m/>
    <m/>
    <m/>
    <m/>
    <m/>
    <n v="609.85500000000002"/>
    <m/>
    <m/>
    <m/>
    <m/>
    <m/>
    <m/>
    <m/>
    <m/>
    <m/>
    <m/>
    <m/>
    <m/>
    <m/>
    <m/>
    <m/>
    <m/>
  </r>
  <r>
    <x v="9"/>
    <x v="2"/>
    <m/>
    <m/>
    <m/>
    <m/>
    <m/>
    <m/>
    <n v="587.47500000000002"/>
    <m/>
    <m/>
    <m/>
    <m/>
    <m/>
    <m/>
    <m/>
    <m/>
    <m/>
    <m/>
    <m/>
    <m/>
    <m/>
    <m/>
    <m/>
    <m/>
  </r>
  <r>
    <x v="9"/>
    <x v="3"/>
    <m/>
    <m/>
    <m/>
    <m/>
    <m/>
    <m/>
    <n v="576.28499999999997"/>
    <m/>
    <m/>
    <m/>
    <m/>
    <m/>
    <m/>
    <m/>
    <m/>
    <m/>
    <m/>
    <m/>
    <m/>
    <m/>
    <m/>
    <m/>
    <m/>
  </r>
  <r>
    <x v="9"/>
    <x v="4"/>
    <m/>
    <m/>
    <m/>
    <m/>
    <m/>
    <m/>
    <n v="565.09500000000003"/>
    <m/>
    <m/>
    <m/>
    <m/>
    <m/>
    <m/>
    <m/>
    <m/>
    <m/>
    <m/>
    <m/>
    <m/>
    <m/>
    <m/>
    <m/>
    <m/>
  </r>
  <r>
    <x v="9"/>
    <x v="5"/>
    <m/>
    <m/>
    <m/>
    <m/>
    <m/>
    <m/>
    <n v="548.30999999999995"/>
    <m/>
    <m/>
    <m/>
    <m/>
    <m/>
    <m/>
    <m/>
    <m/>
    <m/>
    <m/>
    <m/>
    <m/>
    <m/>
    <m/>
    <m/>
    <m/>
  </r>
  <r>
    <x v="9"/>
    <x v="6"/>
    <m/>
    <m/>
    <m/>
    <m/>
    <m/>
    <m/>
    <n v="525.92999999999995"/>
    <m/>
    <m/>
    <m/>
    <m/>
    <m/>
    <m/>
    <m/>
    <m/>
    <m/>
    <m/>
    <m/>
    <m/>
    <m/>
    <m/>
    <m/>
    <m/>
  </r>
  <r>
    <x v="9"/>
    <x v="7"/>
    <m/>
    <m/>
    <m/>
    <m/>
    <m/>
    <m/>
    <n v="3638.4125985645978"/>
    <m/>
    <m/>
    <m/>
    <m/>
    <m/>
    <m/>
    <m/>
    <m/>
    <m/>
    <m/>
    <m/>
    <m/>
    <m/>
    <m/>
    <m/>
    <m/>
  </r>
  <r>
    <x v="9"/>
    <x v="8"/>
    <m/>
    <m/>
    <m/>
    <m/>
    <m/>
    <m/>
    <n v="0"/>
    <m/>
    <m/>
    <m/>
    <m/>
    <m/>
    <m/>
    <m/>
    <m/>
    <m/>
    <m/>
    <m/>
    <m/>
    <m/>
    <m/>
    <m/>
    <m/>
  </r>
  <r>
    <x v="10"/>
    <x v="0"/>
    <m/>
    <m/>
    <m/>
    <m/>
    <m/>
    <m/>
    <n v="163.6"/>
    <m/>
    <m/>
    <m/>
    <m/>
    <m/>
    <m/>
    <m/>
    <m/>
    <m/>
    <m/>
    <m/>
    <m/>
    <m/>
    <m/>
    <m/>
    <m/>
  </r>
  <r>
    <x v="10"/>
    <x v="1"/>
    <m/>
    <m/>
    <m/>
    <m/>
    <m/>
    <m/>
    <n v="445.80999999999995"/>
    <m/>
    <m/>
    <m/>
    <m/>
    <m/>
    <m/>
    <m/>
    <m/>
    <m/>
    <m/>
    <m/>
    <m/>
    <m/>
    <m/>
    <m/>
    <m/>
  </r>
  <r>
    <x v="10"/>
    <x v="2"/>
    <m/>
    <m/>
    <m/>
    <m/>
    <m/>
    <m/>
    <n v="429.45000000000005"/>
    <m/>
    <m/>
    <m/>
    <m/>
    <m/>
    <m/>
    <m/>
    <m/>
    <m/>
    <m/>
    <m/>
    <m/>
    <m/>
    <m/>
    <m/>
    <m/>
  </r>
  <r>
    <x v="10"/>
    <x v="3"/>
    <m/>
    <m/>
    <m/>
    <m/>
    <m/>
    <m/>
    <n v="421.27"/>
    <m/>
    <m/>
    <m/>
    <m/>
    <m/>
    <m/>
    <m/>
    <m/>
    <m/>
    <m/>
    <m/>
    <m/>
    <m/>
    <m/>
    <m/>
    <m/>
  </r>
  <r>
    <x v="10"/>
    <x v="4"/>
    <m/>
    <m/>
    <m/>
    <m/>
    <m/>
    <m/>
    <n v="413.09"/>
    <m/>
    <m/>
    <m/>
    <m/>
    <m/>
    <m/>
    <m/>
    <m/>
    <m/>
    <m/>
    <m/>
    <m/>
    <m/>
    <m/>
    <m/>
    <m/>
  </r>
  <r>
    <x v="10"/>
    <x v="5"/>
    <m/>
    <m/>
    <m/>
    <m/>
    <m/>
    <m/>
    <n v="400.81999999999994"/>
    <m/>
    <m/>
    <m/>
    <m/>
    <m/>
    <m/>
    <m/>
    <m/>
    <m/>
    <m/>
    <m/>
    <m/>
    <m/>
    <m/>
    <m/>
    <m/>
  </r>
  <r>
    <x v="10"/>
    <x v="6"/>
    <m/>
    <m/>
    <m/>
    <m/>
    <m/>
    <m/>
    <n v="384.46000000000004"/>
    <m/>
    <m/>
    <m/>
    <m/>
    <m/>
    <m/>
    <m/>
    <m/>
    <m/>
    <m/>
    <m/>
    <m/>
    <m/>
    <m/>
    <m/>
    <m/>
  </r>
  <r>
    <x v="10"/>
    <x v="7"/>
    <m/>
    <m/>
    <m/>
    <m/>
    <m/>
    <m/>
    <n v="2659.0870393093451"/>
    <m/>
    <m/>
    <m/>
    <m/>
    <m/>
    <m/>
    <m/>
    <m/>
    <m/>
    <m/>
    <m/>
    <m/>
    <m/>
    <m/>
    <m/>
    <m/>
  </r>
  <r>
    <x v="10"/>
    <x v="8"/>
    <m/>
    <m/>
    <m/>
    <m/>
    <m/>
    <m/>
    <n v="0"/>
    <m/>
    <m/>
    <m/>
    <m/>
    <m/>
    <m/>
    <m/>
    <m/>
    <m/>
    <m/>
    <m/>
    <m/>
    <m/>
    <m/>
    <m/>
    <m/>
  </r>
  <r>
    <x v="11"/>
    <x v="0"/>
    <m/>
    <m/>
    <m/>
    <m/>
    <m/>
    <m/>
    <n v="110.39999999999999"/>
    <m/>
    <m/>
    <m/>
    <m/>
    <m/>
    <m/>
    <m/>
    <m/>
    <m/>
    <m/>
    <m/>
    <m/>
    <m/>
    <m/>
    <m/>
    <m/>
  </r>
  <r>
    <x v="11"/>
    <x v="1"/>
    <m/>
    <m/>
    <m/>
    <m/>
    <m/>
    <m/>
    <n v="300.83999999999997"/>
    <m/>
    <m/>
    <m/>
    <m/>
    <m/>
    <m/>
    <m/>
    <m/>
    <m/>
    <m/>
    <m/>
    <m/>
    <m/>
    <m/>
    <m/>
    <m/>
  </r>
  <r>
    <x v="11"/>
    <x v="2"/>
    <m/>
    <m/>
    <m/>
    <m/>
    <m/>
    <m/>
    <n v="289.8"/>
    <m/>
    <m/>
    <m/>
    <m/>
    <m/>
    <m/>
    <m/>
    <m/>
    <m/>
    <m/>
    <m/>
    <m/>
    <m/>
    <m/>
    <m/>
    <m/>
  </r>
  <r>
    <x v="11"/>
    <x v="3"/>
    <m/>
    <m/>
    <m/>
    <m/>
    <m/>
    <m/>
    <n v="284.27999999999997"/>
    <m/>
    <m/>
    <m/>
    <m/>
    <m/>
    <m/>
    <m/>
    <m/>
    <m/>
    <m/>
    <m/>
    <m/>
    <m/>
    <m/>
    <m/>
    <m/>
  </r>
  <r>
    <x v="11"/>
    <x v="4"/>
    <m/>
    <m/>
    <m/>
    <m/>
    <m/>
    <m/>
    <n v="278.76"/>
    <m/>
    <m/>
    <m/>
    <m/>
    <m/>
    <m/>
    <m/>
    <m/>
    <m/>
    <m/>
    <m/>
    <m/>
    <m/>
    <m/>
    <m/>
    <m/>
  </r>
  <r>
    <x v="11"/>
    <x v="5"/>
    <m/>
    <m/>
    <m/>
    <m/>
    <m/>
    <m/>
    <n v="270.48"/>
    <m/>
    <m/>
    <m/>
    <m/>
    <m/>
    <m/>
    <m/>
    <m/>
    <m/>
    <m/>
    <m/>
    <m/>
    <m/>
    <m/>
    <m/>
    <m/>
  </r>
  <r>
    <x v="11"/>
    <x v="6"/>
    <m/>
    <m/>
    <m/>
    <m/>
    <m/>
    <m/>
    <n v="259.44"/>
    <m/>
    <m/>
    <m/>
    <m/>
    <m/>
    <m/>
    <m/>
    <m/>
    <m/>
    <m/>
    <m/>
    <m/>
    <m/>
    <m/>
    <m/>
    <m/>
  </r>
  <r>
    <x v="11"/>
    <x v="7"/>
    <m/>
    <m/>
    <m/>
    <m/>
    <m/>
    <m/>
    <n v="1793.4218040683809"/>
    <m/>
    <m/>
    <m/>
    <m/>
    <m/>
    <m/>
    <m/>
    <m/>
    <m/>
    <m/>
    <m/>
    <m/>
    <m/>
    <m/>
    <m/>
    <m/>
  </r>
  <r>
    <x v="11"/>
    <x v="8"/>
    <m/>
    <m/>
    <m/>
    <m/>
    <m/>
    <m/>
    <n v="0"/>
    <m/>
    <m/>
    <m/>
    <m/>
    <m/>
    <m/>
    <m/>
    <m/>
    <m/>
    <m/>
    <m/>
    <m/>
    <m/>
    <m/>
    <m/>
    <m/>
  </r>
  <r>
    <x v="12"/>
    <x v="0"/>
    <m/>
    <m/>
    <m/>
    <m/>
    <m/>
    <m/>
    <n v="86.6"/>
    <m/>
    <m/>
    <m/>
    <m/>
    <m/>
    <m/>
    <m/>
    <m/>
    <m/>
    <m/>
    <m/>
    <m/>
    <m/>
    <m/>
    <m/>
    <m/>
  </r>
  <r>
    <x v="12"/>
    <x v="1"/>
    <m/>
    <m/>
    <m/>
    <m/>
    <m/>
    <m/>
    <n v="235.98499999999999"/>
    <m/>
    <m/>
    <m/>
    <m/>
    <m/>
    <m/>
    <m/>
    <m/>
    <m/>
    <m/>
    <m/>
    <m/>
    <m/>
    <m/>
    <m/>
    <m/>
  </r>
  <r>
    <x v="12"/>
    <x v="2"/>
    <m/>
    <m/>
    <m/>
    <m/>
    <m/>
    <m/>
    <n v="227.32499999999999"/>
    <m/>
    <m/>
    <m/>
    <m/>
    <m/>
    <m/>
    <m/>
    <m/>
    <m/>
    <m/>
    <m/>
    <m/>
    <m/>
    <m/>
    <m/>
    <m/>
  </r>
  <r>
    <x v="12"/>
    <x v="3"/>
    <m/>
    <m/>
    <m/>
    <m/>
    <m/>
    <m/>
    <n v="222.995"/>
    <m/>
    <m/>
    <m/>
    <m/>
    <m/>
    <m/>
    <m/>
    <m/>
    <m/>
    <m/>
    <m/>
    <m/>
    <m/>
    <m/>
    <m/>
    <m/>
  </r>
  <r>
    <x v="12"/>
    <x v="4"/>
    <m/>
    <m/>
    <m/>
    <m/>
    <m/>
    <m/>
    <n v="218.66500000000002"/>
    <m/>
    <m/>
    <m/>
    <m/>
    <m/>
    <m/>
    <m/>
    <m/>
    <m/>
    <m/>
    <m/>
    <m/>
    <m/>
    <m/>
    <m/>
    <m/>
  </r>
  <r>
    <x v="12"/>
    <x v="5"/>
    <m/>
    <m/>
    <m/>
    <m/>
    <m/>
    <m/>
    <n v="212.17"/>
    <m/>
    <m/>
    <m/>
    <m/>
    <m/>
    <m/>
    <m/>
    <m/>
    <m/>
    <m/>
    <m/>
    <m/>
    <m/>
    <m/>
    <m/>
    <m/>
  </r>
  <r>
    <x v="12"/>
    <x v="6"/>
    <m/>
    <m/>
    <m/>
    <m/>
    <m/>
    <m/>
    <n v="203.51"/>
    <m/>
    <m/>
    <m/>
    <m/>
    <m/>
    <m/>
    <m/>
    <m/>
    <m/>
    <m/>
    <m/>
    <m/>
    <m/>
    <m/>
    <m/>
    <m/>
  </r>
  <r>
    <x v="12"/>
    <x v="7"/>
    <m/>
    <m/>
    <m/>
    <m/>
    <m/>
    <m/>
    <n v="1407.9840870655241"/>
    <m/>
    <m/>
    <m/>
    <m/>
    <m/>
    <m/>
    <m/>
    <m/>
    <m/>
    <m/>
    <m/>
    <m/>
    <m/>
    <m/>
    <m/>
    <m/>
  </r>
  <r>
    <x v="12"/>
    <x v="8"/>
    <m/>
    <m/>
    <m/>
    <m/>
    <m/>
    <m/>
    <n v="0"/>
    <m/>
    <m/>
    <m/>
    <m/>
    <m/>
    <m/>
    <m/>
    <m/>
    <m/>
    <m/>
    <m/>
    <m/>
    <m/>
    <m/>
    <m/>
    <m/>
  </r>
  <r>
    <x v="13"/>
    <x v="0"/>
    <m/>
    <m/>
    <m/>
    <m/>
    <m/>
    <m/>
    <n v="20.400000000000002"/>
    <m/>
    <m/>
    <m/>
    <m/>
    <m/>
    <m/>
    <m/>
    <m/>
    <m/>
    <m/>
    <m/>
    <m/>
    <m/>
    <m/>
    <m/>
    <m/>
  </r>
  <r>
    <x v="13"/>
    <x v="1"/>
    <m/>
    <m/>
    <m/>
    <m/>
    <m/>
    <m/>
    <n v="55.59"/>
    <m/>
    <m/>
    <m/>
    <m/>
    <m/>
    <m/>
    <m/>
    <m/>
    <m/>
    <m/>
    <m/>
    <m/>
    <m/>
    <m/>
    <m/>
    <m/>
  </r>
  <r>
    <x v="13"/>
    <x v="2"/>
    <m/>
    <m/>
    <m/>
    <m/>
    <m/>
    <m/>
    <n v="53.550000000000004"/>
    <m/>
    <m/>
    <m/>
    <m/>
    <m/>
    <m/>
    <m/>
    <m/>
    <m/>
    <m/>
    <m/>
    <m/>
    <m/>
    <m/>
    <m/>
    <m/>
  </r>
  <r>
    <x v="13"/>
    <x v="3"/>
    <m/>
    <m/>
    <m/>
    <m/>
    <m/>
    <m/>
    <n v="52.53"/>
    <m/>
    <m/>
    <m/>
    <m/>
    <m/>
    <m/>
    <m/>
    <m/>
    <m/>
    <m/>
    <m/>
    <m/>
    <m/>
    <m/>
    <m/>
    <m/>
  </r>
  <r>
    <x v="13"/>
    <x v="4"/>
    <m/>
    <m/>
    <m/>
    <m/>
    <m/>
    <m/>
    <n v="51.510000000000005"/>
    <m/>
    <m/>
    <m/>
    <m/>
    <m/>
    <m/>
    <m/>
    <m/>
    <m/>
    <m/>
    <m/>
    <m/>
    <m/>
    <m/>
    <m/>
    <m/>
  </r>
  <r>
    <x v="13"/>
    <x v="5"/>
    <m/>
    <m/>
    <m/>
    <m/>
    <m/>
    <m/>
    <n v="49.980000000000004"/>
    <m/>
    <m/>
    <m/>
    <m/>
    <m/>
    <m/>
    <m/>
    <m/>
    <m/>
    <m/>
    <m/>
    <m/>
    <m/>
    <m/>
    <m/>
    <m/>
  </r>
  <r>
    <x v="13"/>
    <x v="6"/>
    <m/>
    <m/>
    <m/>
    <m/>
    <m/>
    <m/>
    <n v="47.940000000000005"/>
    <m/>
    <m/>
    <m/>
    <m/>
    <m/>
    <m/>
    <m/>
    <m/>
    <m/>
    <m/>
    <m/>
    <m/>
    <m/>
    <m/>
    <m/>
    <m/>
  </r>
  <r>
    <x v="13"/>
    <x v="7"/>
    <m/>
    <m/>
    <m/>
    <m/>
    <m/>
    <m/>
    <n v="331.72010761815164"/>
    <m/>
    <m/>
    <m/>
    <m/>
    <m/>
    <m/>
    <m/>
    <m/>
    <m/>
    <m/>
    <m/>
    <m/>
    <m/>
    <m/>
    <m/>
    <m/>
  </r>
  <r>
    <x v="13"/>
    <x v="8"/>
    <m/>
    <m/>
    <m/>
    <m/>
    <m/>
    <m/>
    <n v="0"/>
    <m/>
    <m/>
    <m/>
    <m/>
    <m/>
    <m/>
    <m/>
    <m/>
    <m/>
    <m/>
    <m/>
    <m/>
    <m/>
    <m/>
    <m/>
    <m/>
  </r>
  <r>
    <x v="14"/>
    <x v="0"/>
    <m/>
    <m/>
    <m/>
    <m/>
    <m/>
    <m/>
    <n v="216.20000000000005"/>
    <m/>
    <m/>
    <m/>
    <m/>
    <m/>
    <m/>
    <m/>
    <m/>
    <m/>
    <m/>
    <m/>
    <m/>
    <m/>
    <m/>
    <m/>
    <m/>
  </r>
  <r>
    <x v="14"/>
    <x v="1"/>
    <m/>
    <m/>
    <m/>
    <m/>
    <m/>
    <m/>
    <n v="589.14499999999998"/>
    <m/>
    <m/>
    <m/>
    <m/>
    <m/>
    <m/>
    <m/>
    <m/>
    <m/>
    <m/>
    <m/>
    <m/>
    <m/>
    <m/>
    <m/>
    <m/>
  </r>
  <r>
    <x v="14"/>
    <x v="2"/>
    <m/>
    <m/>
    <m/>
    <m/>
    <m/>
    <m/>
    <n v="567.52499999999998"/>
    <m/>
    <m/>
    <m/>
    <m/>
    <m/>
    <m/>
    <m/>
    <m/>
    <m/>
    <m/>
    <m/>
    <m/>
    <m/>
    <m/>
    <m/>
    <m/>
  </r>
  <r>
    <x v="14"/>
    <x v="3"/>
    <m/>
    <m/>
    <m/>
    <m/>
    <m/>
    <m/>
    <n v="556.71500000000003"/>
    <m/>
    <m/>
    <m/>
    <m/>
    <m/>
    <m/>
    <m/>
    <m/>
    <m/>
    <m/>
    <m/>
    <m/>
    <m/>
    <m/>
    <m/>
    <m/>
  </r>
  <r>
    <x v="14"/>
    <x v="4"/>
    <m/>
    <m/>
    <m/>
    <m/>
    <m/>
    <m/>
    <n v="545.90499999999997"/>
    <m/>
    <m/>
    <m/>
    <m/>
    <m/>
    <m/>
    <m/>
    <m/>
    <m/>
    <m/>
    <m/>
    <m/>
    <m/>
    <m/>
    <m/>
    <m/>
  </r>
  <r>
    <x v="14"/>
    <x v="5"/>
    <m/>
    <m/>
    <m/>
    <m/>
    <m/>
    <m/>
    <n v="529.69000000000005"/>
    <m/>
    <m/>
    <m/>
    <m/>
    <m/>
    <m/>
    <m/>
    <m/>
    <m/>
    <m/>
    <m/>
    <m/>
    <m/>
    <m/>
    <m/>
    <m/>
  </r>
  <r>
    <x v="14"/>
    <x v="6"/>
    <m/>
    <m/>
    <m/>
    <m/>
    <m/>
    <m/>
    <n v="508.06999999999994"/>
    <m/>
    <m/>
    <m/>
    <m/>
    <m/>
    <m/>
    <m/>
    <m/>
    <m/>
    <m/>
    <m/>
    <m/>
    <m/>
    <m/>
    <m/>
    <m/>
  </r>
  <r>
    <x v="14"/>
    <x v="7"/>
    <m/>
    <m/>
    <m/>
    <m/>
    <m/>
    <m/>
    <n v="3511.9854622235098"/>
    <m/>
    <m/>
    <m/>
    <m/>
    <m/>
    <m/>
    <m/>
    <m/>
    <m/>
    <m/>
    <m/>
    <m/>
    <m/>
    <m/>
    <m/>
    <m/>
  </r>
  <r>
    <x v="14"/>
    <x v="8"/>
    <m/>
    <m/>
    <m/>
    <m/>
    <m/>
    <m/>
    <n v="0"/>
    <m/>
    <m/>
    <m/>
    <m/>
    <m/>
    <m/>
    <m/>
    <m/>
    <m/>
    <m/>
    <m/>
    <m/>
    <m/>
    <m/>
    <m/>
    <m/>
  </r>
  <r>
    <x v="15"/>
    <x v="0"/>
    <m/>
    <m/>
    <m/>
    <m/>
    <m/>
    <m/>
    <n v="14.2"/>
    <m/>
    <m/>
    <m/>
    <m/>
    <m/>
    <m/>
    <m/>
    <m/>
    <m/>
    <m/>
    <m/>
    <m/>
    <m/>
    <m/>
    <m/>
    <m/>
  </r>
  <r>
    <x v="15"/>
    <x v="1"/>
    <m/>
    <m/>
    <m/>
    <m/>
    <m/>
    <m/>
    <n v="38.695"/>
    <m/>
    <m/>
    <m/>
    <m/>
    <m/>
    <m/>
    <m/>
    <m/>
    <m/>
    <m/>
    <m/>
    <m/>
    <m/>
    <m/>
    <m/>
    <m/>
  </r>
  <r>
    <x v="15"/>
    <x v="2"/>
    <m/>
    <m/>
    <m/>
    <m/>
    <m/>
    <m/>
    <n v="37.275000000000006"/>
    <m/>
    <m/>
    <m/>
    <m/>
    <m/>
    <m/>
    <m/>
    <m/>
    <m/>
    <m/>
    <m/>
    <m/>
    <m/>
    <m/>
    <m/>
    <m/>
  </r>
  <r>
    <x v="15"/>
    <x v="3"/>
    <m/>
    <m/>
    <m/>
    <m/>
    <m/>
    <m/>
    <n v="36.565000000000005"/>
    <m/>
    <m/>
    <m/>
    <m/>
    <m/>
    <m/>
    <m/>
    <m/>
    <m/>
    <m/>
    <m/>
    <m/>
    <m/>
    <m/>
    <m/>
    <m/>
  </r>
  <r>
    <x v="15"/>
    <x v="4"/>
    <m/>
    <m/>
    <m/>
    <m/>
    <m/>
    <m/>
    <n v="35.855000000000004"/>
    <m/>
    <m/>
    <m/>
    <m/>
    <m/>
    <m/>
    <m/>
    <m/>
    <m/>
    <m/>
    <m/>
    <m/>
    <m/>
    <m/>
    <m/>
    <m/>
  </r>
  <r>
    <x v="15"/>
    <x v="5"/>
    <m/>
    <m/>
    <m/>
    <m/>
    <m/>
    <m/>
    <n v="34.79"/>
    <m/>
    <m/>
    <m/>
    <m/>
    <m/>
    <m/>
    <m/>
    <m/>
    <m/>
    <m/>
    <m/>
    <m/>
    <m/>
    <m/>
    <m/>
    <m/>
  </r>
  <r>
    <x v="15"/>
    <x v="6"/>
    <m/>
    <m/>
    <m/>
    <m/>
    <m/>
    <m/>
    <n v="33.370000000000005"/>
    <m/>
    <m/>
    <m/>
    <m/>
    <m/>
    <m/>
    <m/>
    <m/>
    <m/>
    <m/>
    <m/>
    <m/>
    <m/>
    <m/>
    <m/>
    <m/>
  </r>
  <r>
    <x v="15"/>
    <x v="7"/>
    <m/>
    <m/>
    <m/>
    <m/>
    <m/>
    <m/>
    <n v="231.83826418818211"/>
    <m/>
    <m/>
    <m/>
    <m/>
    <m/>
    <m/>
    <m/>
    <m/>
    <m/>
    <m/>
    <m/>
    <m/>
    <m/>
    <m/>
    <m/>
    <m/>
  </r>
  <r>
    <x v="15"/>
    <x v="8"/>
    <m/>
    <m/>
    <m/>
    <m/>
    <m/>
    <m/>
    <n v="0"/>
    <m/>
    <m/>
    <m/>
    <m/>
    <m/>
    <m/>
    <m/>
    <m/>
    <m/>
    <m/>
    <m/>
    <m/>
    <m/>
    <m/>
    <m/>
    <m/>
  </r>
  <r>
    <x v="16"/>
    <x v="0"/>
    <m/>
    <m/>
    <m/>
    <m/>
    <m/>
    <m/>
    <n v="20.400000000000002"/>
    <m/>
    <m/>
    <m/>
    <m/>
    <m/>
    <m/>
    <m/>
    <m/>
    <m/>
    <m/>
    <m/>
    <m/>
    <m/>
    <m/>
    <m/>
    <m/>
  </r>
  <r>
    <x v="16"/>
    <x v="1"/>
    <m/>
    <m/>
    <m/>
    <m/>
    <m/>
    <m/>
    <n v="55.59"/>
    <m/>
    <m/>
    <m/>
    <m/>
    <m/>
    <m/>
    <m/>
    <m/>
    <m/>
    <m/>
    <m/>
    <m/>
    <m/>
    <m/>
    <m/>
    <m/>
  </r>
  <r>
    <x v="16"/>
    <x v="2"/>
    <m/>
    <m/>
    <m/>
    <m/>
    <m/>
    <m/>
    <n v="53.550000000000004"/>
    <m/>
    <m/>
    <m/>
    <m/>
    <m/>
    <m/>
    <m/>
    <m/>
    <m/>
    <m/>
    <m/>
    <m/>
    <m/>
    <m/>
    <m/>
    <m/>
  </r>
  <r>
    <x v="16"/>
    <x v="3"/>
    <m/>
    <m/>
    <m/>
    <m/>
    <m/>
    <m/>
    <n v="52.53"/>
    <m/>
    <m/>
    <m/>
    <m/>
    <m/>
    <m/>
    <m/>
    <m/>
    <m/>
    <m/>
    <m/>
    <m/>
    <m/>
    <m/>
    <m/>
    <m/>
  </r>
  <r>
    <x v="16"/>
    <x v="4"/>
    <m/>
    <m/>
    <m/>
    <m/>
    <m/>
    <m/>
    <n v="51.510000000000005"/>
    <m/>
    <m/>
    <m/>
    <m/>
    <m/>
    <m/>
    <m/>
    <m/>
    <m/>
    <m/>
    <m/>
    <m/>
    <m/>
    <m/>
    <m/>
    <m/>
  </r>
  <r>
    <x v="16"/>
    <x v="5"/>
    <m/>
    <m/>
    <m/>
    <m/>
    <m/>
    <m/>
    <n v="49.980000000000004"/>
    <m/>
    <m/>
    <m/>
    <m/>
    <m/>
    <m/>
    <m/>
    <m/>
    <m/>
    <m/>
    <m/>
    <m/>
    <m/>
    <m/>
    <m/>
    <m/>
  </r>
  <r>
    <x v="16"/>
    <x v="6"/>
    <m/>
    <m/>
    <m/>
    <m/>
    <m/>
    <m/>
    <n v="47.940000000000005"/>
    <m/>
    <m/>
    <m/>
    <m/>
    <m/>
    <m/>
    <m/>
    <m/>
    <m/>
    <m/>
    <m/>
    <m/>
    <m/>
    <m/>
    <m/>
    <m/>
  </r>
  <r>
    <x v="16"/>
    <x v="7"/>
    <m/>
    <m/>
    <m/>
    <m/>
    <m/>
    <m/>
    <n v="332.08568339840133"/>
    <m/>
    <m/>
    <m/>
    <m/>
    <m/>
    <m/>
    <m/>
    <m/>
    <m/>
    <m/>
    <m/>
    <m/>
    <m/>
    <m/>
    <m/>
    <m/>
  </r>
  <r>
    <x v="16"/>
    <x v="8"/>
    <m/>
    <m/>
    <m/>
    <m/>
    <m/>
    <m/>
    <n v="0"/>
    <m/>
    <m/>
    <m/>
    <m/>
    <m/>
    <m/>
    <m/>
    <m/>
    <m/>
    <m/>
    <m/>
    <m/>
    <m/>
    <m/>
    <m/>
    <m/>
  </r>
  <r>
    <x v="17"/>
    <x v="0"/>
    <m/>
    <m/>
    <m/>
    <m/>
    <m/>
    <m/>
    <n v="2"/>
    <m/>
    <m/>
    <m/>
    <m/>
    <m/>
    <m/>
    <m/>
    <m/>
    <m/>
    <m/>
    <m/>
    <m/>
    <m/>
    <m/>
    <m/>
    <m/>
  </r>
  <r>
    <x v="17"/>
    <x v="1"/>
    <m/>
    <m/>
    <m/>
    <m/>
    <m/>
    <m/>
    <n v="5.45"/>
    <m/>
    <m/>
    <m/>
    <m/>
    <m/>
    <m/>
    <m/>
    <m/>
    <m/>
    <m/>
    <m/>
    <m/>
    <m/>
    <m/>
    <m/>
    <m/>
  </r>
  <r>
    <x v="17"/>
    <x v="2"/>
    <m/>
    <m/>
    <m/>
    <m/>
    <m/>
    <m/>
    <n v="5.25"/>
    <m/>
    <m/>
    <m/>
    <m/>
    <m/>
    <m/>
    <m/>
    <m/>
    <m/>
    <m/>
    <m/>
    <m/>
    <m/>
    <m/>
    <m/>
    <m/>
  </r>
  <r>
    <x v="17"/>
    <x v="3"/>
    <m/>
    <m/>
    <m/>
    <m/>
    <m/>
    <m/>
    <n v="5.15"/>
    <m/>
    <m/>
    <m/>
    <m/>
    <m/>
    <m/>
    <m/>
    <m/>
    <m/>
    <m/>
    <m/>
    <m/>
    <m/>
    <m/>
    <m/>
    <m/>
  </r>
  <r>
    <x v="17"/>
    <x v="4"/>
    <m/>
    <m/>
    <m/>
    <m/>
    <m/>
    <m/>
    <n v="5.05"/>
    <m/>
    <m/>
    <m/>
    <m/>
    <m/>
    <m/>
    <m/>
    <m/>
    <m/>
    <m/>
    <m/>
    <m/>
    <m/>
    <m/>
    <m/>
    <m/>
  </r>
  <r>
    <x v="17"/>
    <x v="5"/>
    <m/>
    <m/>
    <m/>
    <m/>
    <m/>
    <m/>
    <n v="4.9000000000000004"/>
    <m/>
    <m/>
    <m/>
    <m/>
    <m/>
    <m/>
    <m/>
    <m/>
    <m/>
    <m/>
    <m/>
    <m/>
    <m/>
    <m/>
    <m/>
    <m/>
  </r>
  <r>
    <x v="17"/>
    <x v="6"/>
    <m/>
    <m/>
    <m/>
    <m/>
    <m/>
    <m/>
    <n v="4.7"/>
    <m/>
    <m/>
    <m/>
    <m/>
    <m/>
    <m/>
    <m/>
    <m/>
    <m/>
    <m/>
    <m/>
    <m/>
    <m/>
    <m/>
    <m/>
    <m/>
  </r>
  <r>
    <x v="17"/>
    <x v="7"/>
    <m/>
    <m/>
    <m/>
    <m/>
    <m/>
    <m/>
    <n v="33.053754789297265"/>
    <m/>
    <m/>
    <m/>
    <m/>
    <m/>
    <m/>
    <m/>
    <m/>
    <m/>
    <m/>
    <m/>
    <m/>
    <m/>
    <m/>
    <m/>
    <m/>
  </r>
  <r>
    <x v="17"/>
    <x v="8"/>
    <m/>
    <m/>
    <m/>
    <m/>
    <m/>
    <m/>
    <n v="0"/>
    <m/>
    <m/>
    <m/>
    <m/>
    <m/>
    <m/>
    <m/>
    <m/>
    <m/>
    <m/>
    <m/>
    <m/>
    <m/>
    <m/>
    <m/>
    <m/>
  </r>
  <r>
    <x v="18"/>
    <x v="0"/>
    <m/>
    <m/>
    <m/>
    <m/>
    <m/>
    <m/>
    <n v="1.4"/>
    <m/>
    <m/>
    <m/>
    <m/>
    <m/>
    <m/>
    <m/>
    <m/>
    <m/>
    <m/>
    <m/>
    <m/>
    <m/>
    <m/>
    <m/>
    <m/>
  </r>
  <r>
    <x v="18"/>
    <x v="1"/>
    <m/>
    <m/>
    <m/>
    <m/>
    <m/>
    <m/>
    <n v="3.8150000000000004"/>
    <m/>
    <m/>
    <m/>
    <m/>
    <m/>
    <m/>
    <m/>
    <m/>
    <m/>
    <m/>
    <m/>
    <m/>
    <m/>
    <m/>
    <m/>
    <m/>
  </r>
  <r>
    <x v="18"/>
    <x v="2"/>
    <m/>
    <m/>
    <m/>
    <m/>
    <m/>
    <m/>
    <n v="3.6749999999999998"/>
    <m/>
    <m/>
    <m/>
    <m/>
    <m/>
    <m/>
    <m/>
    <m/>
    <m/>
    <m/>
    <m/>
    <m/>
    <m/>
    <m/>
    <m/>
    <m/>
  </r>
  <r>
    <x v="18"/>
    <x v="3"/>
    <m/>
    <m/>
    <m/>
    <m/>
    <m/>
    <m/>
    <n v="3.605"/>
    <m/>
    <m/>
    <m/>
    <m/>
    <m/>
    <m/>
    <m/>
    <m/>
    <m/>
    <m/>
    <m/>
    <m/>
    <m/>
    <m/>
    <m/>
    <m/>
  </r>
  <r>
    <x v="18"/>
    <x v="4"/>
    <m/>
    <m/>
    <m/>
    <m/>
    <m/>
    <m/>
    <n v="3.5350000000000001"/>
    <m/>
    <m/>
    <m/>
    <m/>
    <m/>
    <m/>
    <m/>
    <m/>
    <m/>
    <m/>
    <m/>
    <m/>
    <m/>
    <m/>
    <m/>
    <m/>
  </r>
  <r>
    <x v="18"/>
    <x v="5"/>
    <m/>
    <m/>
    <m/>
    <m/>
    <m/>
    <m/>
    <n v="3.4299999999999997"/>
    <m/>
    <m/>
    <m/>
    <m/>
    <m/>
    <m/>
    <m/>
    <m/>
    <m/>
    <m/>
    <m/>
    <m/>
    <m/>
    <m/>
    <m/>
    <m/>
  </r>
  <r>
    <x v="18"/>
    <x v="6"/>
    <m/>
    <m/>
    <m/>
    <m/>
    <m/>
    <m/>
    <n v="3.29"/>
    <m/>
    <m/>
    <m/>
    <m/>
    <m/>
    <m/>
    <m/>
    <m/>
    <m/>
    <m/>
    <m/>
    <m/>
    <m/>
    <m/>
    <m/>
    <m/>
  </r>
  <r>
    <x v="18"/>
    <x v="7"/>
    <m/>
    <m/>
    <m/>
    <m/>
    <m/>
    <m/>
    <n v="22.75"/>
    <m/>
    <m/>
    <m/>
    <m/>
    <m/>
    <m/>
    <m/>
    <m/>
    <m/>
    <m/>
    <m/>
    <m/>
    <m/>
    <m/>
    <m/>
    <m/>
  </r>
  <r>
    <x v="18"/>
    <x v="8"/>
    <m/>
    <m/>
    <m/>
    <m/>
    <m/>
    <m/>
    <n v="0"/>
    <m/>
    <m/>
    <m/>
    <m/>
    <m/>
    <m/>
    <m/>
    <m/>
    <m/>
    <m/>
    <m/>
    <m/>
    <m/>
    <m/>
    <m/>
    <m/>
  </r>
  <r>
    <x v="19"/>
    <x v="0"/>
    <m/>
    <m/>
    <m/>
    <m/>
    <m/>
    <m/>
    <n v="22.2"/>
    <m/>
    <m/>
    <m/>
    <m/>
    <m/>
    <m/>
    <m/>
    <m/>
    <m/>
    <m/>
    <m/>
    <m/>
    <m/>
    <m/>
    <m/>
    <m/>
  </r>
  <r>
    <x v="19"/>
    <x v="1"/>
    <m/>
    <m/>
    <m/>
    <m/>
    <m/>
    <m/>
    <n v="60.495000000000005"/>
    <m/>
    <m/>
    <m/>
    <m/>
    <m/>
    <m/>
    <m/>
    <m/>
    <m/>
    <m/>
    <m/>
    <m/>
    <m/>
    <m/>
    <m/>
    <m/>
  </r>
  <r>
    <x v="19"/>
    <x v="2"/>
    <m/>
    <m/>
    <m/>
    <m/>
    <m/>
    <m/>
    <n v="58.275000000000006"/>
    <m/>
    <m/>
    <m/>
    <m/>
    <m/>
    <m/>
    <m/>
    <m/>
    <m/>
    <m/>
    <m/>
    <m/>
    <m/>
    <m/>
    <m/>
    <m/>
  </r>
  <r>
    <x v="19"/>
    <x v="3"/>
    <m/>
    <m/>
    <m/>
    <m/>
    <m/>
    <m/>
    <n v="57.164999999999999"/>
    <m/>
    <m/>
    <m/>
    <m/>
    <m/>
    <m/>
    <m/>
    <m/>
    <m/>
    <m/>
    <m/>
    <m/>
    <m/>
    <m/>
    <m/>
    <m/>
  </r>
  <r>
    <x v="19"/>
    <x v="4"/>
    <m/>
    <m/>
    <m/>
    <m/>
    <m/>
    <m/>
    <n v="56.054999999999993"/>
    <m/>
    <m/>
    <m/>
    <m/>
    <m/>
    <m/>
    <m/>
    <m/>
    <m/>
    <m/>
    <m/>
    <m/>
    <m/>
    <m/>
    <m/>
    <m/>
  </r>
  <r>
    <x v="19"/>
    <x v="5"/>
    <m/>
    <m/>
    <m/>
    <m/>
    <m/>
    <m/>
    <n v="54.39"/>
    <m/>
    <m/>
    <m/>
    <m/>
    <m/>
    <m/>
    <m/>
    <m/>
    <m/>
    <m/>
    <m/>
    <m/>
    <m/>
    <m/>
    <m/>
    <m/>
  </r>
  <r>
    <x v="19"/>
    <x v="6"/>
    <m/>
    <m/>
    <m/>
    <m/>
    <m/>
    <m/>
    <n v="52.17"/>
    <m/>
    <m/>
    <m/>
    <m/>
    <m/>
    <m/>
    <m/>
    <m/>
    <m/>
    <m/>
    <m/>
    <m/>
    <m/>
    <m/>
    <m/>
    <m/>
  </r>
  <r>
    <x v="19"/>
    <x v="7"/>
    <m/>
    <m/>
    <m/>
    <m/>
    <m/>
    <m/>
    <n v="360.25861248653217"/>
    <m/>
    <m/>
    <m/>
    <m/>
    <m/>
    <m/>
    <m/>
    <m/>
    <m/>
    <m/>
    <m/>
    <m/>
    <m/>
    <m/>
    <m/>
    <m/>
  </r>
  <r>
    <x v="19"/>
    <x v="8"/>
    <m/>
    <m/>
    <m/>
    <m/>
    <m/>
    <m/>
    <n v="0"/>
    <m/>
    <m/>
    <m/>
    <m/>
    <m/>
    <m/>
    <m/>
    <m/>
    <m/>
    <m/>
    <m/>
    <m/>
    <m/>
    <m/>
    <m/>
    <m/>
  </r>
  <r>
    <x v="20"/>
    <x v="0"/>
    <m/>
    <m/>
    <m/>
    <m/>
    <m/>
    <m/>
    <n v="352"/>
    <m/>
    <m/>
    <m/>
    <m/>
    <m/>
    <m/>
    <m/>
    <m/>
    <m/>
    <m/>
    <m/>
    <m/>
    <m/>
    <m/>
    <m/>
    <m/>
  </r>
  <r>
    <x v="20"/>
    <x v="1"/>
    <m/>
    <m/>
    <m/>
    <m/>
    <m/>
    <m/>
    <n v="959.19999999999982"/>
    <m/>
    <m/>
    <m/>
    <m/>
    <m/>
    <m/>
    <m/>
    <m/>
    <m/>
    <m/>
    <m/>
    <m/>
    <m/>
    <m/>
    <m/>
    <m/>
  </r>
  <r>
    <x v="20"/>
    <x v="2"/>
    <m/>
    <m/>
    <m/>
    <m/>
    <m/>
    <m/>
    <n v="924"/>
    <m/>
    <m/>
    <m/>
    <m/>
    <m/>
    <m/>
    <m/>
    <m/>
    <m/>
    <m/>
    <m/>
    <m/>
    <m/>
    <m/>
    <m/>
    <m/>
  </r>
  <r>
    <x v="20"/>
    <x v="3"/>
    <m/>
    <m/>
    <m/>
    <m/>
    <m/>
    <m/>
    <n v="906.4"/>
    <m/>
    <m/>
    <m/>
    <m/>
    <m/>
    <m/>
    <m/>
    <m/>
    <m/>
    <m/>
    <m/>
    <m/>
    <m/>
    <m/>
    <m/>
    <m/>
  </r>
  <r>
    <x v="20"/>
    <x v="4"/>
    <m/>
    <m/>
    <m/>
    <m/>
    <m/>
    <m/>
    <n v="888.8"/>
    <m/>
    <m/>
    <m/>
    <m/>
    <m/>
    <m/>
    <m/>
    <m/>
    <m/>
    <m/>
    <m/>
    <m/>
    <m/>
    <m/>
    <m/>
    <m/>
  </r>
  <r>
    <x v="20"/>
    <x v="5"/>
    <m/>
    <m/>
    <m/>
    <m/>
    <m/>
    <m/>
    <n v="862.39999999999986"/>
    <m/>
    <m/>
    <m/>
    <m/>
    <m/>
    <m/>
    <m/>
    <m/>
    <m/>
    <m/>
    <m/>
    <m/>
    <m/>
    <m/>
    <m/>
    <m/>
  </r>
  <r>
    <x v="20"/>
    <x v="6"/>
    <m/>
    <m/>
    <m/>
    <m/>
    <m/>
    <m/>
    <n v="827.19999999999982"/>
    <m/>
    <m/>
    <m/>
    <m/>
    <m/>
    <m/>
    <m/>
    <m/>
    <m/>
    <m/>
    <m/>
    <m/>
    <m/>
    <m/>
    <m/>
    <m/>
  </r>
  <r>
    <x v="20"/>
    <x v="7"/>
    <m/>
    <m/>
    <m/>
    <m/>
    <m/>
    <m/>
    <n v="5719.5132228225139"/>
    <m/>
    <m/>
    <m/>
    <m/>
    <m/>
    <m/>
    <m/>
    <m/>
    <m/>
    <m/>
    <m/>
    <m/>
    <m/>
    <m/>
    <m/>
    <m/>
  </r>
  <r>
    <x v="20"/>
    <x v="8"/>
    <m/>
    <m/>
    <m/>
    <m/>
    <m/>
    <m/>
    <n v="0"/>
    <m/>
    <m/>
    <m/>
    <m/>
    <m/>
    <m/>
    <m/>
    <m/>
    <m/>
    <m/>
    <m/>
    <m/>
    <m/>
    <m/>
    <m/>
    <m/>
  </r>
  <r>
    <x v="21"/>
    <x v="0"/>
    <m/>
    <m/>
    <m/>
    <m/>
    <m/>
    <m/>
    <n v="37.6"/>
    <m/>
    <m/>
    <m/>
    <m/>
    <m/>
    <m/>
    <m/>
    <m/>
    <m/>
    <m/>
    <m/>
    <m/>
    <m/>
    <m/>
    <m/>
    <m/>
  </r>
  <r>
    <x v="21"/>
    <x v="1"/>
    <m/>
    <m/>
    <m/>
    <m/>
    <m/>
    <m/>
    <n v="102.46000000000001"/>
    <m/>
    <m/>
    <m/>
    <m/>
    <m/>
    <m/>
    <m/>
    <m/>
    <m/>
    <m/>
    <m/>
    <m/>
    <m/>
    <m/>
    <m/>
    <m/>
  </r>
  <r>
    <x v="21"/>
    <x v="2"/>
    <m/>
    <m/>
    <m/>
    <m/>
    <m/>
    <m/>
    <n v="98.699999999999989"/>
    <m/>
    <m/>
    <m/>
    <m/>
    <m/>
    <m/>
    <m/>
    <m/>
    <m/>
    <m/>
    <m/>
    <m/>
    <m/>
    <m/>
    <m/>
    <m/>
  </r>
  <r>
    <x v="21"/>
    <x v="3"/>
    <m/>
    <m/>
    <m/>
    <m/>
    <m/>
    <m/>
    <n v="96.82"/>
    <m/>
    <m/>
    <m/>
    <m/>
    <m/>
    <m/>
    <m/>
    <m/>
    <m/>
    <m/>
    <m/>
    <m/>
    <m/>
    <m/>
    <m/>
    <m/>
  </r>
  <r>
    <x v="21"/>
    <x v="4"/>
    <m/>
    <m/>
    <m/>
    <m/>
    <m/>
    <m/>
    <n v="94.94"/>
    <m/>
    <m/>
    <m/>
    <m/>
    <m/>
    <m/>
    <m/>
    <m/>
    <m/>
    <m/>
    <m/>
    <m/>
    <m/>
    <m/>
    <m/>
    <m/>
  </r>
  <r>
    <x v="21"/>
    <x v="5"/>
    <m/>
    <m/>
    <m/>
    <m/>
    <m/>
    <m/>
    <n v="92.12"/>
    <m/>
    <m/>
    <m/>
    <m/>
    <m/>
    <m/>
    <m/>
    <m/>
    <m/>
    <m/>
    <m/>
    <m/>
    <m/>
    <m/>
    <m/>
    <m/>
  </r>
  <r>
    <x v="21"/>
    <x v="6"/>
    <m/>
    <m/>
    <m/>
    <m/>
    <m/>
    <m/>
    <n v="88.36"/>
    <m/>
    <m/>
    <m/>
    <m/>
    <m/>
    <m/>
    <m/>
    <m/>
    <m/>
    <m/>
    <m/>
    <m/>
    <m/>
    <m/>
    <m/>
    <m/>
  </r>
  <r>
    <x v="21"/>
    <x v="7"/>
    <m/>
    <m/>
    <m/>
    <m/>
    <m/>
    <m/>
    <n v="611.57700866908522"/>
    <m/>
    <m/>
    <m/>
    <m/>
    <m/>
    <m/>
    <m/>
    <m/>
    <m/>
    <m/>
    <m/>
    <m/>
    <m/>
    <m/>
    <m/>
    <m/>
  </r>
  <r>
    <x v="21"/>
    <x v="8"/>
    <m/>
    <m/>
    <m/>
    <m/>
    <m/>
    <m/>
    <n v="0"/>
    <m/>
    <m/>
    <m/>
    <m/>
    <m/>
    <m/>
    <m/>
    <m/>
    <m/>
    <m/>
    <m/>
    <m/>
    <m/>
    <m/>
    <m/>
    <m/>
  </r>
  <r>
    <x v="22"/>
    <x v="0"/>
    <m/>
    <m/>
    <m/>
    <m/>
    <m/>
    <m/>
    <n v="185"/>
    <m/>
    <m/>
    <m/>
    <m/>
    <m/>
    <m/>
    <m/>
    <m/>
    <m/>
    <m/>
    <m/>
    <m/>
    <m/>
    <m/>
    <m/>
    <m/>
  </r>
  <r>
    <x v="22"/>
    <x v="1"/>
    <m/>
    <m/>
    <m/>
    <m/>
    <m/>
    <m/>
    <n v="504.125"/>
    <m/>
    <m/>
    <m/>
    <m/>
    <m/>
    <m/>
    <m/>
    <m/>
    <m/>
    <m/>
    <m/>
    <m/>
    <m/>
    <m/>
    <m/>
    <m/>
  </r>
  <r>
    <x v="22"/>
    <x v="2"/>
    <m/>
    <m/>
    <m/>
    <m/>
    <m/>
    <m/>
    <n v="485.625"/>
    <m/>
    <m/>
    <m/>
    <m/>
    <m/>
    <m/>
    <m/>
    <m/>
    <m/>
    <m/>
    <m/>
    <m/>
    <m/>
    <m/>
    <m/>
    <m/>
  </r>
  <r>
    <x v="22"/>
    <x v="3"/>
    <m/>
    <m/>
    <m/>
    <m/>
    <m/>
    <m/>
    <n v="476.375"/>
    <m/>
    <m/>
    <m/>
    <m/>
    <m/>
    <m/>
    <m/>
    <m/>
    <m/>
    <m/>
    <m/>
    <m/>
    <m/>
    <m/>
    <m/>
    <m/>
  </r>
  <r>
    <x v="22"/>
    <x v="4"/>
    <m/>
    <m/>
    <m/>
    <m/>
    <m/>
    <m/>
    <n v="467.125"/>
    <m/>
    <m/>
    <m/>
    <m/>
    <m/>
    <m/>
    <m/>
    <m/>
    <m/>
    <m/>
    <m/>
    <m/>
    <m/>
    <m/>
    <m/>
    <m/>
  </r>
  <r>
    <x v="22"/>
    <x v="5"/>
    <m/>
    <m/>
    <m/>
    <m/>
    <m/>
    <m/>
    <n v="453.25"/>
    <m/>
    <m/>
    <m/>
    <m/>
    <m/>
    <m/>
    <m/>
    <m/>
    <m/>
    <m/>
    <m/>
    <m/>
    <m/>
    <m/>
    <m/>
    <m/>
  </r>
  <r>
    <x v="22"/>
    <x v="6"/>
    <m/>
    <m/>
    <m/>
    <m/>
    <m/>
    <m/>
    <n v="434.75"/>
    <m/>
    <m/>
    <m/>
    <m/>
    <m/>
    <m/>
    <m/>
    <m/>
    <m/>
    <m/>
    <m/>
    <m/>
    <m/>
    <m/>
    <m/>
    <m/>
  </r>
  <r>
    <x v="22"/>
    <x v="7"/>
    <m/>
    <m/>
    <m/>
    <m/>
    <m/>
    <m/>
    <n v="3006.3386446489649"/>
    <m/>
    <m/>
    <m/>
    <m/>
    <m/>
    <m/>
    <m/>
    <m/>
    <m/>
    <m/>
    <m/>
    <m/>
    <m/>
    <m/>
    <m/>
    <m/>
  </r>
  <r>
    <x v="22"/>
    <x v="8"/>
    <m/>
    <m/>
    <m/>
    <m/>
    <m/>
    <m/>
    <n v="0"/>
    <m/>
    <m/>
    <m/>
    <m/>
    <m/>
    <m/>
    <m/>
    <m/>
    <m/>
    <m/>
    <m/>
    <m/>
    <m/>
    <m/>
    <m/>
    <m/>
  </r>
  <r>
    <x v="23"/>
    <x v="0"/>
    <m/>
    <m/>
    <m/>
    <m/>
    <m/>
    <m/>
    <n v="47"/>
    <m/>
    <m/>
    <m/>
    <m/>
    <m/>
    <m/>
    <m/>
    <m/>
    <m/>
    <m/>
    <m/>
    <m/>
    <m/>
    <m/>
    <m/>
    <m/>
  </r>
  <r>
    <x v="23"/>
    <x v="1"/>
    <m/>
    <m/>
    <m/>
    <m/>
    <m/>
    <m/>
    <n v="128.07499999999999"/>
    <m/>
    <m/>
    <m/>
    <m/>
    <m/>
    <m/>
    <m/>
    <m/>
    <m/>
    <m/>
    <m/>
    <m/>
    <m/>
    <m/>
    <m/>
    <m/>
  </r>
  <r>
    <x v="23"/>
    <x v="2"/>
    <m/>
    <m/>
    <m/>
    <m/>
    <m/>
    <m/>
    <n v="123.375"/>
    <m/>
    <m/>
    <m/>
    <m/>
    <m/>
    <m/>
    <m/>
    <m/>
    <m/>
    <m/>
    <m/>
    <m/>
    <m/>
    <m/>
    <m/>
    <m/>
  </r>
  <r>
    <x v="23"/>
    <x v="3"/>
    <m/>
    <m/>
    <m/>
    <m/>
    <m/>
    <m/>
    <n v="121.02500000000001"/>
    <m/>
    <m/>
    <m/>
    <m/>
    <m/>
    <m/>
    <m/>
    <m/>
    <m/>
    <m/>
    <m/>
    <m/>
    <m/>
    <m/>
    <m/>
    <m/>
  </r>
  <r>
    <x v="23"/>
    <x v="4"/>
    <m/>
    <m/>
    <m/>
    <m/>
    <m/>
    <m/>
    <n v="118.67499999999998"/>
    <m/>
    <m/>
    <m/>
    <m/>
    <m/>
    <m/>
    <m/>
    <m/>
    <m/>
    <m/>
    <m/>
    <m/>
    <m/>
    <m/>
    <m/>
    <m/>
  </r>
  <r>
    <x v="23"/>
    <x v="5"/>
    <m/>
    <m/>
    <m/>
    <m/>
    <m/>
    <m/>
    <n v="115.15"/>
    <m/>
    <m/>
    <m/>
    <m/>
    <m/>
    <m/>
    <m/>
    <m/>
    <m/>
    <m/>
    <m/>
    <m/>
    <m/>
    <m/>
    <m/>
    <m/>
  </r>
  <r>
    <x v="23"/>
    <x v="6"/>
    <m/>
    <m/>
    <m/>
    <m/>
    <m/>
    <m/>
    <n v="110.45000000000002"/>
    <m/>
    <m/>
    <m/>
    <m/>
    <m/>
    <m/>
    <m/>
    <m/>
    <m/>
    <m/>
    <m/>
    <m/>
    <m/>
    <m/>
    <m/>
    <m/>
  </r>
  <r>
    <x v="23"/>
    <x v="7"/>
    <m/>
    <m/>
    <m/>
    <m/>
    <m/>
    <m/>
    <n v="765.27653718556826"/>
    <m/>
    <m/>
    <m/>
    <m/>
    <m/>
    <m/>
    <m/>
    <m/>
    <m/>
    <m/>
    <m/>
    <m/>
    <m/>
    <m/>
    <m/>
    <m/>
  </r>
  <r>
    <x v="23"/>
    <x v="8"/>
    <m/>
    <m/>
    <m/>
    <m/>
    <m/>
    <m/>
    <n v="0"/>
    <m/>
    <m/>
    <m/>
    <m/>
    <m/>
    <m/>
    <m/>
    <m/>
    <m/>
    <m/>
    <m/>
    <m/>
    <m/>
    <m/>
    <m/>
    <m/>
  </r>
  <r>
    <x v="24"/>
    <x v="0"/>
    <m/>
    <m/>
    <m/>
    <m/>
    <m/>
    <m/>
    <n v="11"/>
    <m/>
    <m/>
    <m/>
    <m/>
    <m/>
    <m/>
    <m/>
    <m/>
    <m/>
    <m/>
    <m/>
    <m/>
    <m/>
    <m/>
    <m/>
    <m/>
  </r>
  <r>
    <x v="24"/>
    <x v="1"/>
    <m/>
    <m/>
    <m/>
    <m/>
    <m/>
    <m/>
    <n v="29.974999999999994"/>
    <m/>
    <m/>
    <m/>
    <m/>
    <m/>
    <m/>
    <m/>
    <m/>
    <m/>
    <m/>
    <m/>
    <m/>
    <m/>
    <m/>
    <m/>
    <m/>
  </r>
  <r>
    <x v="24"/>
    <x v="2"/>
    <m/>
    <m/>
    <m/>
    <m/>
    <m/>
    <m/>
    <n v="28.875"/>
    <m/>
    <m/>
    <m/>
    <m/>
    <m/>
    <m/>
    <m/>
    <m/>
    <m/>
    <m/>
    <m/>
    <m/>
    <m/>
    <m/>
    <m/>
    <m/>
  </r>
  <r>
    <x v="24"/>
    <x v="3"/>
    <m/>
    <m/>
    <m/>
    <m/>
    <m/>
    <m/>
    <n v="28.324999999999999"/>
    <m/>
    <m/>
    <m/>
    <m/>
    <m/>
    <m/>
    <m/>
    <m/>
    <m/>
    <m/>
    <m/>
    <m/>
    <m/>
    <m/>
    <m/>
    <m/>
  </r>
  <r>
    <x v="24"/>
    <x v="4"/>
    <m/>
    <m/>
    <m/>
    <m/>
    <m/>
    <m/>
    <n v="27.774999999999999"/>
    <m/>
    <m/>
    <m/>
    <m/>
    <m/>
    <m/>
    <m/>
    <m/>
    <m/>
    <m/>
    <m/>
    <m/>
    <m/>
    <m/>
    <m/>
    <m/>
  </r>
  <r>
    <x v="24"/>
    <x v="5"/>
    <m/>
    <m/>
    <m/>
    <m/>
    <m/>
    <m/>
    <n v="26.949999999999996"/>
    <m/>
    <m/>
    <m/>
    <m/>
    <m/>
    <m/>
    <m/>
    <m/>
    <m/>
    <m/>
    <m/>
    <m/>
    <m/>
    <m/>
    <m/>
    <m/>
  </r>
  <r>
    <x v="24"/>
    <x v="6"/>
    <m/>
    <m/>
    <m/>
    <m/>
    <m/>
    <m/>
    <n v="25.849999999999994"/>
    <m/>
    <m/>
    <m/>
    <m/>
    <m/>
    <m/>
    <m/>
    <m/>
    <m/>
    <m/>
    <m/>
    <m/>
    <m/>
    <m/>
    <m/>
    <m/>
  </r>
  <r>
    <x v="24"/>
    <x v="7"/>
    <m/>
    <m/>
    <m/>
    <m/>
    <m/>
    <m/>
    <n v="178.87324376674147"/>
    <m/>
    <m/>
    <m/>
    <m/>
    <m/>
    <m/>
    <m/>
    <m/>
    <m/>
    <m/>
    <m/>
    <m/>
    <m/>
    <m/>
    <m/>
    <m/>
  </r>
  <r>
    <x v="24"/>
    <x v="8"/>
    <m/>
    <m/>
    <m/>
    <m/>
    <m/>
    <m/>
    <n v="0"/>
    <m/>
    <m/>
    <m/>
    <m/>
    <m/>
    <m/>
    <m/>
    <m/>
    <m/>
    <m/>
    <m/>
    <m/>
    <m/>
    <m/>
    <m/>
    <m/>
  </r>
  <r>
    <x v="25"/>
    <x v="0"/>
    <m/>
    <m/>
    <m/>
    <m/>
    <m/>
    <m/>
    <n v="210.40000000000003"/>
    <m/>
    <m/>
    <m/>
    <m/>
    <m/>
    <m/>
    <m/>
    <m/>
    <m/>
    <m/>
    <m/>
    <m/>
    <m/>
    <m/>
    <m/>
    <m/>
  </r>
  <r>
    <x v="25"/>
    <x v="1"/>
    <m/>
    <m/>
    <m/>
    <m/>
    <m/>
    <m/>
    <n v="573.34"/>
    <m/>
    <m/>
    <m/>
    <m/>
    <m/>
    <m/>
    <m/>
    <m/>
    <m/>
    <m/>
    <m/>
    <m/>
    <m/>
    <m/>
    <m/>
    <m/>
  </r>
  <r>
    <x v="25"/>
    <x v="2"/>
    <m/>
    <m/>
    <m/>
    <m/>
    <m/>
    <m/>
    <n v="552.29999999999995"/>
    <m/>
    <m/>
    <m/>
    <m/>
    <m/>
    <m/>
    <m/>
    <m/>
    <m/>
    <m/>
    <m/>
    <m/>
    <m/>
    <m/>
    <m/>
    <m/>
  </r>
  <r>
    <x v="25"/>
    <x v="3"/>
    <m/>
    <m/>
    <m/>
    <m/>
    <m/>
    <m/>
    <n v="541.78"/>
    <m/>
    <m/>
    <m/>
    <m/>
    <m/>
    <m/>
    <m/>
    <m/>
    <m/>
    <m/>
    <m/>
    <m/>
    <m/>
    <m/>
    <m/>
    <m/>
  </r>
  <r>
    <x v="25"/>
    <x v="4"/>
    <m/>
    <m/>
    <m/>
    <m/>
    <m/>
    <m/>
    <n v="531.26"/>
    <m/>
    <m/>
    <m/>
    <m/>
    <m/>
    <m/>
    <m/>
    <m/>
    <m/>
    <m/>
    <m/>
    <m/>
    <m/>
    <m/>
    <m/>
    <m/>
  </r>
  <r>
    <x v="25"/>
    <x v="5"/>
    <m/>
    <m/>
    <m/>
    <m/>
    <m/>
    <m/>
    <n v="515.48"/>
    <m/>
    <m/>
    <m/>
    <m/>
    <m/>
    <m/>
    <m/>
    <m/>
    <m/>
    <m/>
    <m/>
    <m/>
    <m/>
    <m/>
    <m/>
    <m/>
  </r>
  <r>
    <x v="25"/>
    <x v="6"/>
    <m/>
    <m/>
    <m/>
    <m/>
    <m/>
    <m/>
    <n v="494.44"/>
    <m/>
    <m/>
    <m/>
    <m/>
    <m/>
    <m/>
    <m/>
    <m/>
    <m/>
    <m/>
    <m/>
    <m/>
    <m/>
    <m/>
    <m/>
    <m/>
  </r>
  <r>
    <x v="25"/>
    <x v="7"/>
    <m/>
    <m/>
    <m/>
    <m/>
    <m/>
    <m/>
    <n v="3418.8923153094893"/>
    <m/>
    <m/>
    <m/>
    <m/>
    <m/>
    <m/>
    <m/>
    <m/>
    <m/>
    <m/>
    <m/>
    <m/>
    <m/>
    <m/>
    <m/>
    <m/>
  </r>
  <r>
    <x v="25"/>
    <x v="8"/>
    <m/>
    <m/>
    <m/>
    <m/>
    <m/>
    <m/>
    <n v="0"/>
    <m/>
    <m/>
    <m/>
    <m/>
    <m/>
    <m/>
    <m/>
    <m/>
    <m/>
    <m/>
    <m/>
    <m/>
    <m/>
    <m/>
    <m/>
    <m/>
  </r>
  <r>
    <x v="26"/>
    <x v="0"/>
    <m/>
    <m/>
    <m/>
    <m/>
    <m/>
    <m/>
    <n v="12.400000000000002"/>
    <m/>
    <m/>
    <m/>
    <m/>
    <m/>
    <m/>
    <m/>
    <m/>
    <m/>
    <m/>
    <m/>
    <m/>
    <m/>
    <m/>
    <m/>
    <m/>
  </r>
  <r>
    <x v="26"/>
    <x v="1"/>
    <m/>
    <m/>
    <m/>
    <m/>
    <m/>
    <m/>
    <n v="33.79"/>
    <m/>
    <m/>
    <m/>
    <m/>
    <m/>
    <m/>
    <m/>
    <m/>
    <m/>
    <m/>
    <m/>
    <m/>
    <m/>
    <m/>
    <m/>
    <m/>
  </r>
  <r>
    <x v="26"/>
    <x v="2"/>
    <m/>
    <m/>
    <m/>
    <m/>
    <m/>
    <m/>
    <n v="32.549999999999997"/>
    <m/>
    <m/>
    <m/>
    <m/>
    <m/>
    <m/>
    <m/>
    <m/>
    <m/>
    <m/>
    <m/>
    <m/>
    <m/>
    <m/>
    <m/>
    <m/>
  </r>
  <r>
    <x v="26"/>
    <x v="3"/>
    <m/>
    <m/>
    <m/>
    <m/>
    <m/>
    <m/>
    <n v="31.93"/>
    <m/>
    <m/>
    <m/>
    <m/>
    <m/>
    <m/>
    <m/>
    <m/>
    <m/>
    <m/>
    <m/>
    <m/>
    <m/>
    <m/>
    <m/>
    <m/>
  </r>
  <r>
    <x v="26"/>
    <x v="4"/>
    <m/>
    <m/>
    <m/>
    <m/>
    <m/>
    <m/>
    <n v="31.309999999999995"/>
    <m/>
    <m/>
    <m/>
    <m/>
    <m/>
    <m/>
    <m/>
    <m/>
    <m/>
    <m/>
    <m/>
    <m/>
    <m/>
    <m/>
    <m/>
    <m/>
  </r>
  <r>
    <x v="26"/>
    <x v="5"/>
    <m/>
    <m/>
    <m/>
    <m/>
    <m/>
    <m/>
    <n v="30.380000000000003"/>
    <m/>
    <m/>
    <m/>
    <m/>
    <m/>
    <m/>
    <m/>
    <m/>
    <m/>
    <m/>
    <m/>
    <m/>
    <m/>
    <m/>
    <m/>
    <m/>
  </r>
  <r>
    <x v="26"/>
    <x v="6"/>
    <m/>
    <m/>
    <m/>
    <m/>
    <m/>
    <m/>
    <n v="29.14"/>
    <m/>
    <m/>
    <m/>
    <m/>
    <m/>
    <m/>
    <m/>
    <m/>
    <m/>
    <m/>
    <m/>
    <m/>
    <m/>
    <m/>
    <m/>
    <m/>
  </r>
  <r>
    <x v="26"/>
    <x v="7"/>
    <m/>
    <m/>
    <m/>
    <m/>
    <m/>
    <m/>
    <n v="200.20811552019273"/>
    <m/>
    <m/>
    <m/>
    <m/>
    <m/>
    <m/>
    <m/>
    <m/>
    <m/>
    <m/>
    <m/>
    <m/>
    <m/>
    <m/>
    <m/>
    <m/>
  </r>
  <r>
    <x v="26"/>
    <x v="8"/>
    <m/>
    <m/>
    <m/>
    <m/>
    <m/>
    <m/>
    <n v="0"/>
    <m/>
    <m/>
    <m/>
    <m/>
    <m/>
    <m/>
    <m/>
    <m/>
    <m/>
    <m/>
    <m/>
    <m/>
    <m/>
    <m/>
    <m/>
    <m/>
  </r>
  <r>
    <x v="27"/>
    <x v="0"/>
    <m/>
    <m/>
    <m/>
    <m/>
    <m/>
    <m/>
    <n v="2006.8000000000002"/>
    <m/>
    <m/>
    <m/>
    <m/>
    <m/>
    <m/>
    <m/>
    <m/>
    <m/>
    <m/>
    <m/>
    <m/>
    <m/>
    <m/>
    <m/>
    <m/>
  </r>
  <r>
    <x v="27"/>
    <x v="1"/>
    <m/>
    <m/>
    <m/>
    <m/>
    <m/>
    <m/>
    <n v="5468.5300000000007"/>
    <m/>
    <m/>
    <m/>
    <m/>
    <m/>
    <m/>
    <m/>
    <m/>
    <m/>
    <m/>
    <m/>
    <m/>
    <m/>
    <m/>
    <m/>
    <m/>
  </r>
  <r>
    <x v="27"/>
    <x v="2"/>
    <m/>
    <m/>
    <m/>
    <m/>
    <m/>
    <m/>
    <n v="5267.85"/>
    <m/>
    <m/>
    <m/>
    <m/>
    <m/>
    <m/>
    <m/>
    <m/>
    <m/>
    <m/>
    <m/>
    <m/>
    <m/>
    <m/>
    <m/>
    <m/>
  </r>
  <r>
    <x v="27"/>
    <x v="3"/>
    <m/>
    <m/>
    <m/>
    <m/>
    <m/>
    <m/>
    <n v="5167.51"/>
    <m/>
    <m/>
    <m/>
    <m/>
    <m/>
    <m/>
    <m/>
    <m/>
    <m/>
    <m/>
    <m/>
    <m/>
    <m/>
    <m/>
    <m/>
    <m/>
  </r>
  <r>
    <x v="27"/>
    <x v="4"/>
    <m/>
    <m/>
    <m/>
    <m/>
    <m/>
    <m/>
    <n v="5067.1700000000019"/>
    <m/>
    <m/>
    <m/>
    <m/>
    <m/>
    <m/>
    <m/>
    <m/>
    <m/>
    <m/>
    <m/>
    <m/>
    <m/>
    <m/>
    <m/>
    <m/>
  </r>
  <r>
    <x v="27"/>
    <x v="5"/>
    <m/>
    <m/>
    <m/>
    <m/>
    <m/>
    <m/>
    <n v="4916.6599999999989"/>
    <m/>
    <m/>
    <m/>
    <m/>
    <m/>
    <m/>
    <m/>
    <m/>
    <m/>
    <m/>
    <m/>
    <m/>
    <m/>
    <m/>
    <m/>
    <m/>
  </r>
  <r>
    <x v="27"/>
    <x v="6"/>
    <m/>
    <m/>
    <m/>
    <m/>
    <m/>
    <m/>
    <n v="4715.9799999999996"/>
    <m/>
    <m/>
    <m/>
    <m/>
    <m/>
    <m/>
    <m/>
    <m/>
    <m/>
    <m/>
    <m/>
    <m/>
    <m/>
    <m/>
    <m/>
    <m/>
  </r>
  <r>
    <x v="27"/>
    <x v="7"/>
    <m/>
    <m/>
    <m/>
    <m/>
    <m/>
    <m/>
    <n v="32499.999999999993"/>
    <m/>
    <m/>
    <m/>
    <m/>
    <m/>
    <m/>
    <m/>
    <m/>
    <m/>
    <m/>
    <m/>
    <m/>
    <m/>
    <m/>
    <m/>
    <m/>
  </r>
  <r>
    <x v="27"/>
    <x v="8"/>
    <m/>
    <m/>
    <m/>
    <m/>
    <m/>
    <m/>
    <n v="0"/>
    <m/>
    <m/>
    <m/>
    <m/>
    <m/>
    <m/>
    <m/>
    <m/>
    <m/>
    <m/>
    <m/>
    <m/>
    <m/>
    <m/>
    <m/>
    <m/>
  </r>
  <r>
    <x v="0"/>
    <x v="0"/>
    <m/>
    <m/>
    <m/>
    <m/>
    <m/>
    <m/>
    <m/>
    <n v="5.1830821867947883"/>
    <m/>
    <m/>
    <m/>
    <m/>
    <m/>
    <m/>
    <m/>
    <m/>
    <m/>
    <m/>
    <m/>
    <m/>
    <m/>
    <m/>
    <m/>
  </r>
  <r>
    <x v="0"/>
    <x v="1"/>
    <m/>
    <m/>
    <m/>
    <m/>
    <m/>
    <m/>
    <m/>
    <n v="14.123898959015797"/>
    <m/>
    <m/>
    <m/>
    <m/>
    <m/>
    <m/>
    <m/>
    <m/>
    <m/>
    <m/>
    <m/>
    <m/>
    <m/>
    <m/>
    <m/>
  </r>
  <r>
    <x v="0"/>
    <x v="2"/>
    <m/>
    <m/>
    <m/>
    <m/>
    <m/>
    <m/>
    <m/>
    <n v="13.60559074033632"/>
    <m/>
    <m/>
    <m/>
    <m/>
    <m/>
    <m/>
    <m/>
    <m/>
    <m/>
    <m/>
    <m/>
    <m/>
    <m/>
    <m/>
    <m/>
  </r>
  <r>
    <x v="0"/>
    <x v="3"/>
    <m/>
    <m/>
    <m/>
    <m/>
    <m/>
    <m/>
    <m/>
    <n v="13.34643663099658"/>
    <m/>
    <m/>
    <m/>
    <m/>
    <m/>
    <m/>
    <m/>
    <m/>
    <m/>
    <m/>
    <m/>
    <m/>
    <m/>
    <m/>
    <m/>
  </r>
  <r>
    <x v="0"/>
    <x v="4"/>
    <m/>
    <m/>
    <m/>
    <m/>
    <m/>
    <m/>
    <m/>
    <n v="13.08728252165684"/>
    <m/>
    <m/>
    <m/>
    <m/>
    <m/>
    <m/>
    <m/>
    <m/>
    <m/>
    <m/>
    <m/>
    <m/>
    <m/>
    <m/>
    <m/>
  </r>
  <r>
    <x v="0"/>
    <x v="5"/>
    <m/>
    <m/>
    <m/>
    <m/>
    <m/>
    <m/>
    <m/>
    <n v="12.698551357647231"/>
    <m/>
    <m/>
    <m/>
    <m/>
    <m/>
    <m/>
    <m/>
    <m/>
    <m/>
    <m/>
    <m/>
    <m/>
    <m/>
    <m/>
    <m/>
  </r>
  <r>
    <x v="0"/>
    <x v="6"/>
    <m/>
    <m/>
    <m/>
    <m/>
    <m/>
    <m/>
    <m/>
    <n v="12.180243138967752"/>
    <m/>
    <m/>
    <m/>
    <m/>
    <m/>
    <m/>
    <m/>
    <m/>
    <m/>
    <m/>
    <m/>
    <m/>
    <m/>
    <m/>
    <m/>
  </r>
  <r>
    <x v="0"/>
    <x v="7"/>
    <m/>
    <m/>
    <m/>
    <m/>
    <m/>
    <m/>
    <m/>
    <n v="84.294861071164746"/>
    <m/>
    <m/>
    <m/>
    <m/>
    <m/>
    <m/>
    <m/>
    <m/>
    <m/>
    <m/>
    <m/>
    <m/>
    <m/>
    <m/>
    <m/>
  </r>
  <r>
    <x v="1"/>
    <x v="0"/>
    <m/>
    <m/>
    <m/>
    <m/>
    <m/>
    <m/>
    <m/>
    <n v="11.50884319201151"/>
    <m/>
    <m/>
    <m/>
    <m/>
    <m/>
    <m/>
    <m/>
    <m/>
    <m/>
    <m/>
    <m/>
    <m/>
    <m/>
    <m/>
    <m/>
  </r>
  <r>
    <x v="1"/>
    <x v="1"/>
    <m/>
    <m/>
    <m/>
    <m/>
    <m/>
    <m/>
    <m/>
    <n v="31.361597698231357"/>
    <m/>
    <m/>
    <m/>
    <m/>
    <m/>
    <m/>
    <m/>
    <m/>
    <m/>
    <m/>
    <m/>
    <m/>
    <m/>
    <m/>
    <m/>
  </r>
  <r>
    <x v="1"/>
    <x v="2"/>
    <m/>
    <m/>
    <m/>
    <m/>
    <m/>
    <m/>
    <m/>
    <n v="30.21071337903021"/>
    <m/>
    <m/>
    <m/>
    <m/>
    <m/>
    <m/>
    <m/>
    <m/>
    <m/>
    <m/>
    <m/>
    <m/>
    <m/>
    <m/>
    <m/>
  </r>
  <r>
    <x v="1"/>
    <x v="3"/>
    <m/>
    <m/>
    <m/>
    <m/>
    <m/>
    <m/>
    <m/>
    <n v="29.635271219429633"/>
    <m/>
    <m/>
    <m/>
    <m/>
    <m/>
    <m/>
    <m/>
    <m/>
    <m/>
    <m/>
    <m/>
    <m/>
    <m/>
    <m/>
    <m/>
  </r>
  <r>
    <x v="1"/>
    <x v="4"/>
    <m/>
    <m/>
    <m/>
    <m/>
    <m/>
    <m/>
    <m/>
    <n v="29.059829059829063"/>
    <m/>
    <m/>
    <m/>
    <m/>
    <m/>
    <m/>
    <m/>
    <m/>
    <m/>
    <m/>
    <m/>
    <m/>
    <m/>
    <m/>
    <m/>
  </r>
  <r>
    <x v="1"/>
    <x v="5"/>
    <m/>
    <m/>
    <m/>
    <m/>
    <m/>
    <m/>
    <m/>
    <n v="28.196665820428194"/>
    <m/>
    <m/>
    <m/>
    <m/>
    <m/>
    <m/>
    <m/>
    <m/>
    <m/>
    <m/>
    <m/>
    <m/>
    <m/>
    <m/>
    <m/>
  </r>
  <r>
    <x v="1"/>
    <x v="6"/>
    <m/>
    <m/>
    <m/>
    <m/>
    <m/>
    <m/>
    <m/>
    <n v="27.045781501227044"/>
    <m/>
    <m/>
    <m/>
    <m/>
    <m/>
    <m/>
    <m/>
    <m/>
    <m/>
    <m/>
    <m/>
    <m/>
    <m/>
    <m/>
    <m/>
  </r>
  <r>
    <x v="1"/>
    <x v="7"/>
    <m/>
    <m/>
    <m/>
    <m/>
    <m/>
    <m/>
    <m/>
    <n v="187.27030282241145"/>
    <m/>
    <m/>
    <m/>
    <m/>
    <m/>
    <m/>
    <m/>
    <m/>
    <m/>
    <m/>
    <m/>
    <m/>
    <m/>
    <m/>
    <m/>
  </r>
  <r>
    <x v="2"/>
    <x v="0"/>
    <m/>
    <m/>
    <m/>
    <m/>
    <m/>
    <m/>
    <m/>
    <n v="31.859322472200674"/>
    <m/>
    <m/>
    <m/>
    <m/>
    <m/>
    <m/>
    <m/>
    <m/>
    <m/>
    <m/>
    <m/>
    <m/>
    <m/>
    <m/>
    <m/>
  </r>
  <r>
    <x v="2"/>
    <x v="1"/>
    <m/>
    <m/>
    <m/>
    <m/>
    <m/>
    <m/>
    <m/>
    <n v="86.816653736746829"/>
    <m/>
    <m/>
    <m/>
    <m/>
    <m/>
    <m/>
    <m/>
    <m/>
    <m/>
    <m/>
    <m/>
    <m/>
    <m/>
    <m/>
    <m/>
  </r>
  <r>
    <x v="2"/>
    <x v="2"/>
    <m/>
    <m/>
    <m/>
    <m/>
    <m/>
    <m/>
    <m/>
    <n v="83.630721489526763"/>
    <m/>
    <m/>
    <m/>
    <m/>
    <m/>
    <m/>
    <m/>
    <m/>
    <m/>
    <m/>
    <m/>
    <m/>
    <m/>
    <m/>
    <m/>
  </r>
  <r>
    <x v="2"/>
    <x v="3"/>
    <m/>
    <m/>
    <m/>
    <m/>
    <m/>
    <m/>
    <m/>
    <n v="82.037755365916723"/>
    <m/>
    <m/>
    <m/>
    <m/>
    <m/>
    <m/>
    <m/>
    <m/>
    <m/>
    <m/>
    <m/>
    <m/>
    <m/>
    <m/>
    <m/>
  </r>
  <r>
    <x v="2"/>
    <x v="4"/>
    <m/>
    <m/>
    <m/>
    <m/>
    <m/>
    <m/>
    <m/>
    <n v="80.444789242306697"/>
    <m/>
    <m/>
    <m/>
    <m/>
    <m/>
    <m/>
    <m/>
    <m/>
    <m/>
    <m/>
    <m/>
    <m/>
    <m/>
    <m/>
    <m/>
  </r>
  <r>
    <x v="2"/>
    <x v="5"/>
    <m/>
    <m/>
    <m/>
    <m/>
    <m/>
    <m/>
    <m/>
    <n v="78.055340056891637"/>
    <m/>
    <m/>
    <m/>
    <m/>
    <m/>
    <m/>
    <m/>
    <m/>
    <m/>
    <m/>
    <m/>
    <m/>
    <m/>
    <m/>
    <m/>
  </r>
  <r>
    <x v="2"/>
    <x v="6"/>
    <m/>
    <m/>
    <m/>
    <m/>
    <m/>
    <m/>
    <m/>
    <n v="74.869407809671571"/>
    <m/>
    <m/>
    <m/>
    <m/>
    <m/>
    <m/>
    <m/>
    <m/>
    <m/>
    <m/>
    <m/>
    <m/>
    <m/>
    <m/>
    <m/>
  </r>
  <r>
    <x v="2"/>
    <x v="7"/>
    <m/>
    <m/>
    <m/>
    <m/>
    <m/>
    <m/>
    <m/>
    <n v="517.09134322381169"/>
    <m/>
    <m/>
    <m/>
    <m/>
    <m/>
    <m/>
    <m/>
    <m/>
    <m/>
    <m/>
    <m/>
    <m/>
    <m/>
    <m/>
    <m/>
  </r>
  <r>
    <x v="3"/>
    <x v="0"/>
    <m/>
    <m/>
    <m/>
    <m/>
    <m/>
    <m/>
    <m/>
    <n v="26.790954600379774"/>
    <m/>
    <m/>
    <m/>
    <m/>
    <m/>
    <m/>
    <m/>
    <m/>
    <m/>
    <m/>
    <m/>
    <m/>
    <m/>
    <m/>
    <m/>
  </r>
  <r>
    <x v="3"/>
    <x v="1"/>
    <m/>
    <m/>
    <m/>
    <m/>
    <m/>
    <m/>
    <m/>
    <n v="73.005351286034866"/>
    <m/>
    <m/>
    <m/>
    <m/>
    <m/>
    <m/>
    <m/>
    <m/>
    <m/>
    <m/>
    <m/>
    <m/>
    <m/>
    <m/>
    <m/>
  </r>
  <r>
    <x v="3"/>
    <x v="2"/>
    <m/>
    <m/>
    <m/>
    <m/>
    <m/>
    <m/>
    <m/>
    <n v="70.326255825996896"/>
    <m/>
    <m/>
    <m/>
    <m/>
    <m/>
    <m/>
    <m/>
    <m/>
    <m/>
    <m/>
    <m/>
    <m/>
    <m/>
    <m/>
    <m/>
  </r>
  <r>
    <x v="3"/>
    <x v="3"/>
    <m/>
    <m/>
    <m/>
    <m/>
    <m/>
    <m/>
    <m/>
    <n v="68.986708095977903"/>
    <m/>
    <m/>
    <m/>
    <m/>
    <m/>
    <m/>
    <m/>
    <m/>
    <m/>
    <m/>
    <m/>
    <m/>
    <m/>
    <m/>
    <m/>
  </r>
  <r>
    <x v="3"/>
    <x v="4"/>
    <m/>
    <m/>
    <m/>
    <m/>
    <m/>
    <m/>
    <m/>
    <n v="67.647160365958911"/>
    <m/>
    <m/>
    <m/>
    <m/>
    <m/>
    <m/>
    <m/>
    <m/>
    <m/>
    <m/>
    <m/>
    <m/>
    <m/>
    <m/>
    <m/>
  </r>
  <r>
    <x v="3"/>
    <x v="5"/>
    <m/>
    <m/>
    <m/>
    <m/>
    <m/>
    <m/>
    <m/>
    <n v="65.637838770930429"/>
    <m/>
    <m/>
    <m/>
    <m/>
    <m/>
    <m/>
    <m/>
    <m/>
    <m/>
    <m/>
    <m/>
    <m/>
    <m/>
    <m/>
    <m/>
  </r>
  <r>
    <x v="3"/>
    <x v="6"/>
    <m/>
    <m/>
    <m/>
    <m/>
    <m/>
    <m/>
    <m/>
    <n v="62.958743310892459"/>
    <m/>
    <m/>
    <m/>
    <m/>
    <m/>
    <m/>
    <m/>
    <m/>
    <m/>
    <m/>
    <m/>
    <m/>
    <m/>
    <m/>
    <m/>
  </r>
  <r>
    <x v="3"/>
    <x v="7"/>
    <m/>
    <m/>
    <m/>
    <m/>
    <m/>
    <m/>
    <m/>
    <n v="436.06832350235436"/>
    <m/>
    <m/>
    <m/>
    <m/>
    <m/>
    <m/>
    <m/>
    <m/>
    <m/>
    <m/>
    <m/>
    <m/>
    <m/>
    <m/>
    <m/>
  </r>
  <r>
    <x v="4"/>
    <x v="0"/>
    <m/>
    <m/>
    <m/>
    <m/>
    <m/>
    <m/>
    <m/>
    <n v="11.042097998619738"/>
    <m/>
    <m/>
    <m/>
    <m/>
    <m/>
    <m/>
    <m/>
    <m/>
    <m/>
    <m/>
    <m/>
    <m/>
    <m/>
    <m/>
    <m/>
  </r>
  <r>
    <x v="4"/>
    <x v="1"/>
    <m/>
    <m/>
    <m/>
    <m/>
    <m/>
    <m/>
    <m/>
    <n v="30.089717046238786"/>
    <m/>
    <m/>
    <m/>
    <m/>
    <m/>
    <m/>
    <m/>
    <m/>
    <m/>
    <m/>
    <m/>
    <m/>
    <m/>
    <m/>
    <m/>
  </r>
  <r>
    <x v="4"/>
    <x v="2"/>
    <m/>
    <m/>
    <m/>
    <m/>
    <m/>
    <m/>
    <m/>
    <n v="28.985507246376812"/>
    <m/>
    <m/>
    <m/>
    <m/>
    <m/>
    <m/>
    <m/>
    <m/>
    <m/>
    <m/>
    <m/>
    <m/>
    <m/>
    <m/>
    <m/>
  </r>
  <r>
    <x v="4"/>
    <x v="3"/>
    <m/>
    <m/>
    <m/>
    <m/>
    <m/>
    <m/>
    <m/>
    <n v="28.433402346445828"/>
    <m/>
    <m/>
    <m/>
    <m/>
    <m/>
    <m/>
    <m/>
    <m/>
    <m/>
    <m/>
    <m/>
    <m/>
    <m/>
    <m/>
    <m/>
  </r>
  <r>
    <x v="4"/>
    <x v="4"/>
    <m/>
    <m/>
    <m/>
    <m/>
    <m/>
    <m/>
    <m/>
    <n v="27.881297446514839"/>
    <m/>
    <m/>
    <m/>
    <m/>
    <m/>
    <m/>
    <m/>
    <m/>
    <m/>
    <m/>
    <m/>
    <m/>
    <m/>
    <m/>
    <m/>
  </r>
  <r>
    <x v="4"/>
    <x v="5"/>
    <m/>
    <m/>
    <m/>
    <m/>
    <m/>
    <m/>
    <m/>
    <n v="27.05314009661836"/>
    <m/>
    <m/>
    <m/>
    <m/>
    <m/>
    <m/>
    <m/>
    <m/>
    <m/>
    <m/>
    <m/>
    <m/>
    <m/>
    <m/>
    <m/>
  </r>
  <r>
    <x v="4"/>
    <x v="6"/>
    <m/>
    <m/>
    <m/>
    <m/>
    <m/>
    <m/>
    <m/>
    <n v="25.948930296756384"/>
    <m/>
    <m/>
    <m/>
    <m/>
    <m/>
    <m/>
    <m/>
    <m/>
    <m/>
    <m/>
    <m/>
    <m/>
    <m/>
    <m/>
    <m/>
  </r>
  <r>
    <x v="4"/>
    <x v="7"/>
    <m/>
    <m/>
    <m/>
    <m/>
    <m/>
    <m/>
    <m/>
    <n v="180.98399907722799"/>
    <m/>
    <m/>
    <m/>
    <m/>
    <m/>
    <m/>
    <m/>
    <m/>
    <m/>
    <m/>
    <m/>
    <m/>
    <m/>
    <m/>
    <m/>
  </r>
  <r>
    <x v="5"/>
    <x v="0"/>
    <m/>
    <m/>
    <m/>
    <m/>
    <m/>
    <m/>
    <m/>
    <n v="11.742042014494084"/>
    <m/>
    <m/>
    <m/>
    <m/>
    <m/>
    <m/>
    <m/>
    <m/>
    <m/>
    <m/>
    <m/>
    <m/>
    <m/>
    <m/>
    <m/>
  </r>
  <r>
    <x v="5"/>
    <x v="1"/>
    <m/>
    <m/>
    <m/>
    <m/>
    <m/>
    <m/>
    <m/>
    <n v="31.997064489496378"/>
    <m/>
    <m/>
    <m/>
    <m/>
    <m/>
    <m/>
    <m/>
    <m/>
    <m/>
    <m/>
    <m/>
    <m/>
    <m/>
    <m/>
    <m/>
  </r>
  <r>
    <x v="5"/>
    <x v="2"/>
    <m/>
    <m/>
    <m/>
    <m/>
    <m/>
    <m/>
    <m/>
    <n v="30.822860288046968"/>
    <m/>
    <m/>
    <m/>
    <m/>
    <m/>
    <m/>
    <m/>
    <m/>
    <m/>
    <m/>
    <m/>
    <m/>
    <m/>
    <m/>
    <m/>
  </r>
  <r>
    <x v="5"/>
    <x v="3"/>
    <m/>
    <m/>
    <m/>
    <m/>
    <m/>
    <m/>
    <m/>
    <n v="30.235758187322265"/>
    <m/>
    <m/>
    <m/>
    <m/>
    <m/>
    <m/>
    <m/>
    <m/>
    <m/>
    <m/>
    <m/>
    <m/>
    <m/>
    <m/>
    <m/>
  </r>
  <r>
    <x v="5"/>
    <x v="4"/>
    <m/>
    <m/>
    <m/>
    <m/>
    <m/>
    <m/>
    <m/>
    <n v="29.648656086597558"/>
    <m/>
    <m/>
    <m/>
    <m/>
    <m/>
    <m/>
    <m/>
    <m/>
    <m/>
    <m/>
    <m/>
    <m/>
    <m/>
    <m/>
    <m/>
  </r>
  <r>
    <x v="5"/>
    <x v="5"/>
    <m/>
    <m/>
    <m/>
    <m/>
    <m/>
    <m/>
    <m/>
    <n v="28.768002935510506"/>
    <m/>
    <m/>
    <m/>
    <m/>
    <m/>
    <m/>
    <m/>
    <m/>
    <m/>
    <m/>
    <m/>
    <m/>
    <m/>
    <m/>
    <m/>
  </r>
  <r>
    <x v="5"/>
    <x v="6"/>
    <m/>
    <m/>
    <m/>
    <m/>
    <m/>
    <m/>
    <m/>
    <n v="27.593798734061096"/>
    <m/>
    <m/>
    <m/>
    <m/>
    <m/>
    <m/>
    <m/>
    <m/>
    <m/>
    <m/>
    <m/>
    <m/>
    <m/>
    <m/>
    <m/>
  </r>
  <r>
    <x v="5"/>
    <x v="7"/>
    <m/>
    <m/>
    <m/>
    <m/>
    <m/>
    <m/>
    <m/>
    <n v="191.00809997773106"/>
    <m/>
    <m/>
    <m/>
    <m/>
    <m/>
    <m/>
    <m/>
    <m/>
    <m/>
    <m/>
    <m/>
    <m/>
    <m/>
    <m/>
    <m/>
  </r>
  <r>
    <x v="6"/>
    <x v="0"/>
    <m/>
    <m/>
    <m/>
    <m/>
    <m/>
    <m/>
    <m/>
    <n v="4.4735223396521837"/>
    <m/>
    <m/>
    <m/>
    <m/>
    <m/>
    <m/>
    <m/>
    <m/>
    <m/>
    <m/>
    <m/>
    <m/>
    <m/>
    <m/>
    <m/>
  </r>
  <r>
    <x v="6"/>
    <x v="1"/>
    <m/>
    <m/>
    <m/>
    <m/>
    <m/>
    <m/>
    <m/>
    <n v="12.190348375552201"/>
    <m/>
    <m/>
    <m/>
    <m/>
    <m/>
    <m/>
    <m/>
    <m/>
    <m/>
    <m/>
    <m/>
    <m/>
    <m/>
    <m/>
    <m/>
  </r>
  <r>
    <x v="6"/>
    <x v="2"/>
    <m/>
    <m/>
    <m/>
    <m/>
    <m/>
    <m/>
    <m/>
    <n v="11.742996141586982"/>
    <m/>
    <m/>
    <m/>
    <m/>
    <m/>
    <m/>
    <m/>
    <m/>
    <m/>
    <m/>
    <m/>
    <m/>
    <m/>
    <m/>
    <m/>
  </r>
  <r>
    <x v="6"/>
    <x v="3"/>
    <m/>
    <m/>
    <m/>
    <m/>
    <m/>
    <m/>
    <m/>
    <n v="11.519320024604372"/>
    <m/>
    <m/>
    <m/>
    <m/>
    <m/>
    <m/>
    <m/>
    <m/>
    <m/>
    <m/>
    <m/>
    <m/>
    <m/>
    <m/>
    <m/>
  </r>
  <r>
    <x v="6"/>
    <x v="4"/>
    <m/>
    <m/>
    <m/>
    <m/>
    <m/>
    <m/>
    <m/>
    <n v="11.295643907621763"/>
    <m/>
    <m/>
    <m/>
    <m/>
    <m/>
    <m/>
    <m/>
    <m/>
    <m/>
    <m/>
    <m/>
    <m/>
    <m/>
    <m/>
    <m/>
  </r>
  <r>
    <x v="6"/>
    <x v="5"/>
    <m/>
    <m/>
    <m/>
    <m/>
    <m/>
    <m/>
    <m/>
    <n v="10.960129732147848"/>
    <m/>
    <m/>
    <m/>
    <m/>
    <m/>
    <m/>
    <m/>
    <m/>
    <m/>
    <m/>
    <m/>
    <m/>
    <m/>
    <m/>
    <m/>
  </r>
  <r>
    <x v="6"/>
    <x v="6"/>
    <m/>
    <m/>
    <m/>
    <m/>
    <m/>
    <m/>
    <m/>
    <n v="10.512777498182631"/>
    <m/>
    <m/>
    <m/>
    <m/>
    <m/>
    <m/>
    <m/>
    <m/>
    <m/>
    <m/>
    <m/>
    <m/>
    <m/>
    <m/>
    <m/>
  </r>
  <r>
    <x v="6"/>
    <x v="7"/>
    <m/>
    <m/>
    <m/>
    <m/>
    <m/>
    <m/>
    <m/>
    <n v="72.698207782491991"/>
    <m/>
    <m/>
    <m/>
    <m/>
    <m/>
    <m/>
    <m/>
    <m/>
    <m/>
    <m/>
    <m/>
    <m/>
    <m/>
    <m/>
    <m/>
  </r>
  <r>
    <x v="7"/>
    <x v="0"/>
    <m/>
    <m/>
    <m/>
    <m/>
    <m/>
    <m/>
    <m/>
    <n v="11.248484848484848"/>
    <m/>
    <m/>
    <m/>
    <m/>
    <m/>
    <m/>
    <m/>
    <m/>
    <m/>
    <m/>
    <m/>
    <m/>
    <m/>
    <m/>
    <m/>
  </r>
  <r>
    <x v="7"/>
    <x v="1"/>
    <m/>
    <m/>
    <m/>
    <m/>
    <m/>
    <m/>
    <m/>
    <n v="30.652121212121212"/>
    <m/>
    <m/>
    <m/>
    <m/>
    <m/>
    <m/>
    <m/>
    <m/>
    <m/>
    <m/>
    <m/>
    <m/>
    <m/>
    <m/>
    <m/>
  </r>
  <r>
    <x v="7"/>
    <x v="2"/>
    <m/>
    <m/>
    <m/>
    <m/>
    <m/>
    <m/>
    <m/>
    <n v="29.527272727272727"/>
    <m/>
    <m/>
    <m/>
    <m/>
    <m/>
    <m/>
    <m/>
    <m/>
    <m/>
    <m/>
    <m/>
    <m/>
    <m/>
    <m/>
    <m/>
  </r>
  <r>
    <x v="7"/>
    <x v="3"/>
    <m/>
    <m/>
    <m/>
    <m/>
    <m/>
    <m/>
    <m/>
    <n v="28.964848484848481"/>
    <m/>
    <m/>
    <m/>
    <m/>
    <m/>
    <m/>
    <m/>
    <m/>
    <m/>
    <m/>
    <m/>
    <m/>
    <m/>
    <m/>
    <m/>
  </r>
  <r>
    <x v="7"/>
    <x v="4"/>
    <m/>
    <m/>
    <m/>
    <m/>
    <m/>
    <m/>
    <m/>
    <n v="28.402424242424242"/>
    <m/>
    <m/>
    <m/>
    <m/>
    <m/>
    <m/>
    <m/>
    <m/>
    <m/>
    <m/>
    <m/>
    <m/>
    <m/>
    <m/>
    <m/>
  </r>
  <r>
    <x v="7"/>
    <x v="5"/>
    <m/>
    <m/>
    <m/>
    <m/>
    <m/>
    <m/>
    <m/>
    <n v="27.558787878787879"/>
    <m/>
    <m/>
    <m/>
    <m/>
    <m/>
    <m/>
    <m/>
    <m/>
    <m/>
    <m/>
    <m/>
    <m/>
    <m/>
    <m/>
    <m/>
  </r>
  <r>
    <x v="7"/>
    <x v="6"/>
    <m/>
    <m/>
    <m/>
    <m/>
    <m/>
    <m/>
    <m/>
    <n v="26.433939393939394"/>
    <m/>
    <m/>
    <m/>
    <m/>
    <m/>
    <m/>
    <m/>
    <m/>
    <m/>
    <m/>
    <m/>
    <m/>
    <m/>
    <m/>
    <m/>
  </r>
  <r>
    <x v="7"/>
    <x v="7"/>
    <m/>
    <m/>
    <m/>
    <m/>
    <m/>
    <m/>
    <m/>
    <n v="180.6007959060484"/>
    <m/>
    <m/>
    <m/>
    <m/>
    <m/>
    <m/>
    <m/>
    <m/>
    <m/>
    <m/>
    <m/>
    <m/>
    <m/>
    <m/>
    <m/>
  </r>
  <r>
    <x v="8"/>
    <x v="0"/>
    <m/>
    <m/>
    <m/>
    <m/>
    <m/>
    <m/>
    <m/>
    <n v="8.4701403759219609"/>
    <m/>
    <m/>
    <m/>
    <m/>
    <m/>
    <m/>
    <m/>
    <m/>
    <m/>
    <m/>
    <m/>
    <m/>
    <m/>
    <m/>
    <m/>
  </r>
  <r>
    <x v="8"/>
    <x v="1"/>
    <m/>
    <m/>
    <m/>
    <m/>
    <m/>
    <m/>
    <m/>
    <n v="23.081132524387343"/>
    <m/>
    <m/>
    <m/>
    <m/>
    <m/>
    <m/>
    <m/>
    <m/>
    <m/>
    <m/>
    <m/>
    <m/>
    <m/>
    <m/>
    <m/>
  </r>
  <r>
    <x v="8"/>
    <x v="2"/>
    <m/>
    <m/>
    <m/>
    <m/>
    <m/>
    <m/>
    <m/>
    <n v="22.234118486795147"/>
    <m/>
    <m/>
    <m/>
    <m/>
    <m/>
    <m/>
    <m/>
    <m/>
    <m/>
    <m/>
    <m/>
    <m/>
    <m/>
    <m/>
    <m/>
  </r>
  <r>
    <x v="8"/>
    <x v="3"/>
    <m/>
    <m/>
    <m/>
    <m/>
    <m/>
    <m/>
    <m/>
    <n v="21.810611467999049"/>
    <m/>
    <m/>
    <m/>
    <m/>
    <m/>
    <m/>
    <m/>
    <m/>
    <m/>
    <m/>
    <m/>
    <m/>
    <m/>
    <m/>
    <m/>
  </r>
  <r>
    <x v="8"/>
    <x v="4"/>
    <m/>
    <m/>
    <m/>
    <m/>
    <m/>
    <m/>
    <m/>
    <n v="21.387104449202951"/>
    <m/>
    <m/>
    <m/>
    <m/>
    <m/>
    <m/>
    <m/>
    <m/>
    <m/>
    <m/>
    <m/>
    <m/>
    <m/>
    <m/>
    <m/>
  </r>
  <r>
    <x v="8"/>
    <x v="5"/>
    <m/>
    <m/>
    <m/>
    <m/>
    <m/>
    <m/>
    <m/>
    <n v="20.751843921008803"/>
    <m/>
    <m/>
    <m/>
    <m/>
    <m/>
    <m/>
    <m/>
    <m/>
    <m/>
    <m/>
    <m/>
    <m/>
    <m/>
    <m/>
    <m/>
  </r>
  <r>
    <x v="8"/>
    <x v="6"/>
    <m/>
    <m/>
    <m/>
    <m/>
    <m/>
    <m/>
    <m/>
    <n v="19.904829883416607"/>
    <m/>
    <m/>
    <m/>
    <m/>
    <m/>
    <m/>
    <m/>
    <m/>
    <m/>
    <m/>
    <m/>
    <m/>
    <m/>
    <m/>
    <m/>
  </r>
  <r>
    <x v="8"/>
    <x v="7"/>
    <m/>
    <m/>
    <m/>
    <m/>
    <m/>
    <m/>
    <m/>
    <n v="82.83564688214895"/>
    <m/>
    <m/>
    <m/>
    <m/>
    <m/>
    <m/>
    <m/>
    <m/>
    <m/>
    <m/>
    <m/>
    <m/>
    <m/>
    <m/>
    <m/>
  </r>
  <r>
    <x v="9"/>
    <x v="0"/>
    <m/>
    <m/>
    <m/>
    <m/>
    <m/>
    <m/>
    <m/>
    <n v="8.7166080009347588"/>
    <m/>
    <m/>
    <m/>
    <m/>
    <m/>
    <m/>
    <m/>
    <m/>
    <m/>
    <m/>
    <m/>
    <m/>
    <m/>
    <m/>
    <m/>
  </r>
  <r>
    <x v="9"/>
    <x v="1"/>
    <m/>
    <m/>
    <m/>
    <m/>
    <m/>
    <m/>
    <m/>
    <n v="23.752756802547214"/>
    <m/>
    <m/>
    <m/>
    <m/>
    <m/>
    <m/>
    <m/>
    <m/>
    <m/>
    <m/>
    <m/>
    <m/>
    <m/>
    <m/>
    <m/>
  </r>
  <r>
    <x v="9"/>
    <x v="2"/>
    <m/>
    <m/>
    <m/>
    <m/>
    <m/>
    <m/>
    <m/>
    <n v="22.881096002453738"/>
    <m/>
    <m/>
    <m/>
    <m/>
    <m/>
    <m/>
    <m/>
    <m/>
    <m/>
    <m/>
    <m/>
    <m/>
    <m/>
    <m/>
    <m/>
  </r>
  <r>
    <x v="9"/>
    <x v="3"/>
    <m/>
    <m/>
    <m/>
    <m/>
    <m/>
    <m/>
    <m/>
    <n v="22.445265602406998"/>
    <m/>
    <m/>
    <m/>
    <m/>
    <m/>
    <m/>
    <m/>
    <m/>
    <m/>
    <m/>
    <m/>
    <m/>
    <m/>
    <m/>
    <m/>
  </r>
  <r>
    <x v="9"/>
    <x v="4"/>
    <m/>
    <m/>
    <m/>
    <m/>
    <m/>
    <m/>
    <m/>
    <n v="22.009435202360262"/>
    <m/>
    <m/>
    <m/>
    <m/>
    <m/>
    <m/>
    <m/>
    <m/>
    <m/>
    <m/>
    <m/>
    <m/>
    <m/>
    <m/>
    <m/>
  </r>
  <r>
    <x v="9"/>
    <x v="5"/>
    <m/>
    <m/>
    <m/>
    <m/>
    <m/>
    <m/>
    <m/>
    <n v="21.355689602290152"/>
    <m/>
    <m/>
    <m/>
    <m/>
    <m/>
    <m/>
    <m/>
    <m/>
    <m/>
    <m/>
    <m/>
    <m/>
    <m/>
    <m/>
    <m/>
  </r>
  <r>
    <x v="9"/>
    <x v="6"/>
    <m/>
    <m/>
    <m/>
    <m/>
    <m/>
    <m/>
    <m/>
    <n v="20.484028802196676"/>
    <m/>
    <m/>
    <m/>
    <m/>
    <m/>
    <m/>
    <m/>
    <m/>
    <m/>
    <m/>
    <m/>
    <m/>
    <m/>
    <m/>
    <m/>
  </r>
  <r>
    <x v="9"/>
    <x v="7"/>
    <m/>
    <m/>
    <m/>
    <m/>
    <m/>
    <m/>
    <m/>
    <n v="141.70963524285074"/>
    <m/>
    <m/>
    <m/>
    <m/>
    <m/>
    <m/>
    <m/>
    <m/>
    <m/>
    <m/>
    <m/>
    <m/>
    <m/>
    <m/>
    <m/>
  </r>
  <r>
    <x v="10"/>
    <x v="0"/>
    <m/>
    <m/>
    <m/>
    <m/>
    <m/>
    <m/>
    <m/>
    <n v="5.2275051124744376"/>
    <m/>
    <m/>
    <m/>
    <m/>
    <m/>
    <m/>
    <m/>
    <m/>
    <m/>
    <m/>
    <m/>
    <m/>
    <m/>
    <m/>
    <m/>
  </r>
  <r>
    <x v="10"/>
    <x v="1"/>
    <m/>
    <m/>
    <m/>
    <m/>
    <m/>
    <m/>
    <m/>
    <n v="14.244951431492842"/>
    <m/>
    <m/>
    <m/>
    <m/>
    <m/>
    <m/>
    <m/>
    <m/>
    <m/>
    <m/>
    <m/>
    <m/>
    <m/>
    <m/>
    <m/>
  </r>
  <r>
    <x v="10"/>
    <x v="2"/>
    <m/>
    <m/>
    <m/>
    <m/>
    <m/>
    <m/>
    <m/>
    <n v="13.722200920245399"/>
    <m/>
    <m/>
    <m/>
    <m/>
    <m/>
    <m/>
    <m/>
    <m/>
    <m/>
    <m/>
    <m/>
    <m/>
    <m/>
    <m/>
    <m/>
  </r>
  <r>
    <x v="10"/>
    <x v="3"/>
    <m/>
    <m/>
    <m/>
    <m/>
    <m/>
    <m/>
    <m/>
    <n v="13.460825664621675"/>
    <m/>
    <m/>
    <m/>
    <m/>
    <m/>
    <m/>
    <m/>
    <m/>
    <m/>
    <m/>
    <m/>
    <m/>
    <m/>
    <m/>
    <m/>
  </r>
  <r>
    <x v="10"/>
    <x v="4"/>
    <m/>
    <m/>
    <m/>
    <m/>
    <m/>
    <m/>
    <m/>
    <n v="13.199450408997954"/>
    <m/>
    <m/>
    <m/>
    <m/>
    <m/>
    <m/>
    <m/>
    <m/>
    <m/>
    <m/>
    <m/>
    <m/>
    <m/>
    <m/>
    <m/>
  </r>
  <r>
    <x v="10"/>
    <x v="5"/>
    <m/>
    <m/>
    <m/>
    <m/>
    <m/>
    <m/>
    <m/>
    <n v="12.807387525562371"/>
    <m/>
    <m/>
    <m/>
    <m/>
    <m/>
    <m/>
    <m/>
    <m/>
    <m/>
    <m/>
    <m/>
    <m/>
    <m/>
    <m/>
    <m/>
  </r>
  <r>
    <x v="10"/>
    <x v="6"/>
    <m/>
    <m/>
    <m/>
    <m/>
    <m/>
    <m/>
    <m/>
    <n v="12.284637014314928"/>
    <m/>
    <m/>
    <m/>
    <m/>
    <m/>
    <m/>
    <m/>
    <m/>
    <m/>
    <m/>
    <m/>
    <m/>
    <m/>
    <m/>
    <m/>
  </r>
  <r>
    <x v="10"/>
    <x v="7"/>
    <m/>
    <m/>
    <m/>
    <m/>
    <m/>
    <m/>
    <m/>
    <n v="84.965715724352791"/>
    <m/>
    <m/>
    <m/>
    <m/>
    <m/>
    <m/>
    <m/>
    <m/>
    <m/>
    <m/>
    <m/>
    <m/>
    <m/>
    <m/>
    <m/>
  </r>
  <r>
    <x v="11"/>
    <x v="0"/>
    <m/>
    <m/>
    <m/>
    <m/>
    <m/>
    <m/>
    <m/>
    <n v="28.304970675896548"/>
    <m/>
    <m/>
    <m/>
    <m/>
    <m/>
    <m/>
    <m/>
    <m/>
    <m/>
    <m/>
    <m/>
    <m/>
    <m/>
    <m/>
    <m/>
  </r>
  <r>
    <x v="11"/>
    <x v="1"/>
    <m/>
    <m/>
    <m/>
    <m/>
    <m/>
    <m/>
    <m/>
    <n v="77.131045091818081"/>
    <m/>
    <m/>
    <m/>
    <m/>
    <m/>
    <m/>
    <m/>
    <m/>
    <m/>
    <m/>
    <m/>
    <m/>
    <m/>
    <m/>
    <m/>
  </r>
  <r>
    <x v="11"/>
    <x v="2"/>
    <m/>
    <m/>
    <m/>
    <m/>
    <m/>
    <m/>
    <m/>
    <n v="74.300548024228448"/>
    <m/>
    <m/>
    <m/>
    <m/>
    <m/>
    <m/>
    <m/>
    <m/>
    <m/>
    <m/>
    <m/>
    <m/>
    <m/>
    <m/>
    <m/>
  </r>
  <r>
    <x v="11"/>
    <x v="3"/>
    <m/>
    <m/>
    <m/>
    <m/>
    <m/>
    <m/>
    <m/>
    <n v="72.88529949043361"/>
    <m/>
    <m/>
    <m/>
    <m/>
    <m/>
    <m/>
    <m/>
    <m/>
    <m/>
    <m/>
    <m/>
    <m/>
    <m/>
    <m/>
    <m/>
  </r>
  <r>
    <x v="11"/>
    <x v="4"/>
    <m/>
    <m/>
    <m/>
    <m/>
    <m/>
    <m/>
    <m/>
    <n v="71.470050956638786"/>
    <m/>
    <m/>
    <m/>
    <m/>
    <m/>
    <m/>
    <m/>
    <m/>
    <m/>
    <m/>
    <m/>
    <m/>
    <m/>
    <m/>
    <m/>
  </r>
  <r>
    <x v="11"/>
    <x v="5"/>
    <m/>
    <m/>
    <m/>
    <m/>
    <m/>
    <m/>
    <m/>
    <n v="69.347178155946551"/>
    <m/>
    <m/>
    <m/>
    <m/>
    <m/>
    <m/>
    <m/>
    <m/>
    <m/>
    <m/>
    <m/>
    <m/>
    <m/>
    <m/>
    <m/>
  </r>
  <r>
    <x v="11"/>
    <x v="6"/>
    <m/>
    <m/>
    <m/>
    <m/>
    <m/>
    <m/>
    <m/>
    <n v="66.51668108835689"/>
    <m/>
    <m/>
    <m/>
    <m/>
    <m/>
    <m/>
    <m/>
    <m/>
    <m/>
    <m/>
    <m/>
    <m/>
    <m/>
    <m/>
    <m/>
  </r>
  <r>
    <x v="11"/>
    <x v="7"/>
    <m/>
    <m/>
    <m/>
    <m/>
    <m/>
    <m/>
    <m/>
    <n v="459.8075323701903"/>
    <m/>
    <m/>
    <m/>
    <m/>
    <m/>
    <m/>
    <m/>
    <m/>
    <m/>
    <m/>
    <m/>
    <m/>
    <m/>
    <m/>
    <m/>
  </r>
  <r>
    <x v="12"/>
    <x v="0"/>
    <m/>
    <m/>
    <m/>
    <m/>
    <m/>
    <m/>
    <m/>
    <n v="24.093201182403057"/>
    <m/>
    <m/>
    <m/>
    <m/>
    <m/>
    <m/>
    <m/>
    <m/>
    <m/>
    <m/>
    <m/>
    <m/>
    <m/>
    <m/>
    <m/>
  </r>
  <r>
    <x v="12"/>
    <x v="1"/>
    <m/>
    <m/>
    <m/>
    <m/>
    <m/>
    <m/>
    <m/>
    <n v="65.653973222048336"/>
    <m/>
    <m/>
    <m/>
    <m/>
    <m/>
    <m/>
    <m/>
    <m/>
    <m/>
    <m/>
    <m/>
    <m/>
    <m/>
    <m/>
    <m/>
  </r>
  <r>
    <x v="12"/>
    <x v="2"/>
    <m/>
    <m/>
    <m/>
    <m/>
    <m/>
    <m/>
    <m/>
    <n v="63.24465310380802"/>
    <m/>
    <m/>
    <m/>
    <m/>
    <m/>
    <m/>
    <m/>
    <m/>
    <m/>
    <m/>
    <m/>
    <m/>
    <m/>
    <m/>
    <m/>
  </r>
  <r>
    <x v="12"/>
    <x v="3"/>
    <m/>
    <m/>
    <m/>
    <m/>
    <m/>
    <m/>
    <m/>
    <n v="62.039993044687876"/>
    <m/>
    <m/>
    <m/>
    <m/>
    <m/>
    <m/>
    <m/>
    <m/>
    <m/>
    <m/>
    <m/>
    <m/>
    <m/>
    <m/>
    <m/>
  </r>
  <r>
    <x v="12"/>
    <x v="4"/>
    <m/>
    <m/>
    <m/>
    <m/>
    <m/>
    <m/>
    <m/>
    <n v="60.835332985567725"/>
    <m/>
    <m/>
    <m/>
    <m/>
    <m/>
    <m/>
    <m/>
    <m/>
    <m/>
    <m/>
    <m/>
    <m/>
    <m/>
    <m/>
    <m/>
  </r>
  <r>
    <x v="12"/>
    <x v="5"/>
    <m/>
    <m/>
    <m/>
    <m/>
    <m/>
    <m/>
    <m/>
    <n v="59.028342896887487"/>
    <m/>
    <m/>
    <m/>
    <m/>
    <m/>
    <m/>
    <m/>
    <m/>
    <m/>
    <m/>
    <m/>
    <m/>
    <m/>
    <m/>
    <m/>
  </r>
  <r>
    <x v="12"/>
    <x v="6"/>
    <m/>
    <m/>
    <m/>
    <m/>
    <m/>
    <m/>
    <m/>
    <n v="56.619022778647178"/>
    <m/>
    <m/>
    <m/>
    <m/>
    <m/>
    <m/>
    <m/>
    <m/>
    <m/>
    <m/>
    <m/>
    <m/>
    <m/>
    <m/>
    <m/>
  </r>
  <r>
    <x v="12"/>
    <x v="7"/>
    <m/>
    <m/>
    <m/>
    <m/>
    <m/>
    <m/>
    <m/>
    <n v="391.71875140059785"/>
    <m/>
    <m/>
    <m/>
    <m/>
    <m/>
    <m/>
    <m/>
    <m/>
    <m/>
    <m/>
    <m/>
    <m/>
    <m/>
    <m/>
    <m/>
  </r>
  <r>
    <x v="13"/>
    <x v="0"/>
    <m/>
    <m/>
    <m/>
    <m/>
    <m/>
    <m/>
    <m/>
    <n v="10.164424514200299"/>
    <m/>
    <m/>
    <m/>
    <m/>
    <m/>
    <m/>
    <m/>
    <m/>
    <m/>
    <m/>
    <m/>
    <m/>
    <m/>
    <m/>
    <m/>
  </r>
  <r>
    <x v="13"/>
    <x v="1"/>
    <m/>
    <m/>
    <m/>
    <m/>
    <m/>
    <m/>
    <m/>
    <n v="27.698056801195815"/>
    <m/>
    <m/>
    <m/>
    <m/>
    <m/>
    <m/>
    <m/>
    <m/>
    <m/>
    <m/>
    <m/>
    <m/>
    <m/>
    <m/>
    <m/>
  </r>
  <r>
    <x v="13"/>
    <x v="2"/>
    <m/>
    <m/>
    <m/>
    <m/>
    <m/>
    <m/>
    <m/>
    <n v="26.681614349775785"/>
    <m/>
    <m/>
    <m/>
    <m/>
    <m/>
    <m/>
    <m/>
    <m/>
    <m/>
    <m/>
    <m/>
    <m/>
    <m/>
    <m/>
    <m/>
  </r>
  <r>
    <x v="13"/>
    <x v="3"/>
    <m/>
    <m/>
    <m/>
    <m/>
    <m/>
    <m/>
    <m/>
    <n v="26.173393124065772"/>
    <m/>
    <m/>
    <m/>
    <m/>
    <m/>
    <m/>
    <m/>
    <m/>
    <m/>
    <m/>
    <m/>
    <m/>
    <m/>
    <m/>
    <m/>
  </r>
  <r>
    <x v="13"/>
    <x v="4"/>
    <m/>
    <m/>
    <m/>
    <m/>
    <m/>
    <m/>
    <m/>
    <n v="25.665171898355755"/>
    <m/>
    <m/>
    <m/>
    <m/>
    <m/>
    <m/>
    <m/>
    <m/>
    <m/>
    <m/>
    <m/>
    <m/>
    <m/>
    <m/>
    <m/>
  </r>
  <r>
    <x v="13"/>
    <x v="5"/>
    <m/>
    <m/>
    <m/>
    <m/>
    <m/>
    <m/>
    <m/>
    <n v="24.90284005979073"/>
    <m/>
    <m/>
    <m/>
    <m/>
    <m/>
    <m/>
    <m/>
    <m/>
    <m/>
    <m/>
    <m/>
    <m/>
    <m/>
    <m/>
    <m/>
  </r>
  <r>
    <x v="13"/>
    <x v="6"/>
    <m/>
    <m/>
    <m/>
    <m/>
    <m/>
    <m/>
    <m/>
    <n v="23.886397608370704"/>
    <m/>
    <m/>
    <m/>
    <m/>
    <m/>
    <m/>
    <m/>
    <m/>
    <m/>
    <m/>
    <m/>
    <m/>
    <m/>
    <m/>
    <m/>
  </r>
  <r>
    <x v="13"/>
    <x v="7"/>
    <m/>
    <m/>
    <m/>
    <m/>
    <m/>
    <m/>
    <m/>
    <n v="165.28156831995597"/>
    <m/>
    <m/>
    <m/>
    <m/>
    <m/>
    <m/>
    <m/>
    <m/>
    <m/>
    <m/>
    <m/>
    <m/>
    <m/>
    <m/>
    <m/>
  </r>
  <r>
    <x v="14"/>
    <x v="0"/>
    <m/>
    <m/>
    <m/>
    <m/>
    <m/>
    <m/>
    <m/>
    <n v="9.7765568386721178"/>
    <m/>
    <m/>
    <m/>
    <m/>
    <m/>
    <m/>
    <m/>
    <m/>
    <m/>
    <m/>
    <m/>
    <m/>
    <m/>
    <m/>
    <m/>
  </r>
  <r>
    <x v="14"/>
    <x v="1"/>
    <m/>
    <m/>
    <m/>
    <m/>
    <m/>
    <m/>
    <m/>
    <n v="26.641117385381516"/>
    <m/>
    <m/>
    <m/>
    <m/>
    <m/>
    <m/>
    <m/>
    <m/>
    <m/>
    <m/>
    <m/>
    <m/>
    <m/>
    <m/>
    <m/>
  </r>
  <r>
    <x v="14"/>
    <x v="2"/>
    <m/>
    <m/>
    <m/>
    <m/>
    <m/>
    <m/>
    <m/>
    <n v="25.663461701514304"/>
    <m/>
    <m/>
    <m/>
    <m/>
    <m/>
    <m/>
    <m/>
    <m/>
    <m/>
    <m/>
    <m/>
    <m/>
    <m/>
    <m/>
    <m/>
  </r>
  <r>
    <x v="14"/>
    <x v="3"/>
    <m/>
    <m/>
    <m/>
    <m/>
    <m/>
    <m/>
    <m/>
    <n v="25.174633859580702"/>
    <m/>
    <m/>
    <m/>
    <m/>
    <m/>
    <m/>
    <m/>
    <m/>
    <m/>
    <m/>
    <m/>
    <m/>
    <m/>
    <m/>
    <m/>
  </r>
  <r>
    <x v="14"/>
    <x v="4"/>
    <m/>
    <m/>
    <m/>
    <m/>
    <m/>
    <m/>
    <m/>
    <n v="24.685806017647092"/>
    <m/>
    <m/>
    <m/>
    <m/>
    <m/>
    <m/>
    <m/>
    <m/>
    <m/>
    <m/>
    <m/>
    <m/>
    <m/>
    <m/>
    <m/>
  </r>
  <r>
    <x v="14"/>
    <x v="5"/>
    <m/>
    <m/>
    <m/>
    <m/>
    <m/>
    <m/>
    <m/>
    <n v="23.95256425474669"/>
    <m/>
    <m/>
    <m/>
    <m/>
    <m/>
    <m/>
    <m/>
    <m/>
    <m/>
    <m/>
    <m/>
    <m/>
    <m/>
    <m/>
    <m/>
  </r>
  <r>
    <x v="14"/>
    <x v="6"/>
    <m/>
    <m/>
    <m/>
    <m/>
    <m/>
    <m/>
    <m/>
    <n v="22.974908570879471"/>
    <m/>
    <m/>
    <m/>
    <m/>
    <m/>
    <m/>
    <m/>
    <m/>
    <m/>
    <m/>
    <m/>
    <m/>
    <m/>
    <m/>
    <m/>
  </r>
  <r>
    <x v="14"/>
    <x v="7"/>
    <m/>
    <m/>
    <m/>
    <m/>
    <m/>
    <m/>
    <m/>
    <n v="158.81186627205508"/>
    <m/>
    <m/>
    <m/>
    <m/>
    <m/>
    <m/>
    <m/>
    <m/>
    <m/>
    <m/>
    <m/>
    <m/>
    <m/>
    <m/>
    <m/>
  </r>
  <r>
    <x v="15"/>
    <x v="0"/>
    <m/>
    <m/>
    <m/>
    <m/>
    <m/>
    <m/>
    <m/>
    <n v="20.195555555555554"/>
    <m/>
    <m/>
    <m/>
    <m/>
    <m/>
    <m/>
    <m/>
    <m/>
    <m/>
    <m/>
    <m/>
    <m/>
    <m/>
    <m/>
    <m/>
  </r>
  <r>
    <x v="15"/>
    <x v="1"/>
    <m/>
    <m/>
    <m/>
    <m/>
    <m/>
    <m/>
    <m/>
    <n v="55.032888888888891"/>
    <m/>
    <m/>
    <m/>
    <m/>
    <m/>
    <m/>
    <m/>
    <m/>
    <m/>
    <m/>
    <m/>
    <m/>
    <m/>
    <m/>
    <m/>
  </r>
  <r>
    <x v="15"/>
    <x v="2"/>
    <m/>
    <m/>
    <m/>
    <m/>
    <m/>
    <m/>
    <m/>
    <n v="53.013333333333343"/>
    <m/>
    <m/>
    <m/>
    <m/>
    <m/>
    <m/>
    <m/>
    <m/>
    <m/>
    <m/>
    <m/>
    <m/>
    <m/>
    <m/>
    <m/>
  </r>
  <r>
    <x v="15"/>
    <x v="3"/>
    <m/>
    <m/>
    <m/>
    <m/>
    <m/>
    <m/>
    <m/>
    <n v="52.003555555555558"/>
    <m/>
    <m/>
    <m/>
    <m/>
    <m/>
    <m/>
    <m/>
    <m/>
    <m/>
    <m/>
    <m/>
    <m/>
    <m/>
    <m/>
    <m/>
  </r>
  <r>
    <x v="15"/>
    <x v="4"/>
    <m/>
    <m/>
    <m/>
    <m/>
    <m/>
    <m/>
    <m/>
    <n v="50.993777777777787"/>
    <m/>
    <m/>
    <m/>
    <m/>
    <m/>
    <m/>
    <m/>
    <m/>
    <m/>
    <m/>
    <m/>
    <m/>
    <m/>
    <m/>
    <m/>
  </r>
  <r>
    <x v="15"/>
    <x v="5"/>
    <m/>
    <m/>
    <m/>
    <m/>
    <m/>
    <m/>
    <m/>
    <n v="49.479111111111109"/>
    <m/>
    <m/>
    <m/>
    <m/>
    <m/>
    <m/>
    <m/>
    <m/>
    <m/>
    <m/>
    <m/>
    <m/>
    <m/>
    <m/>
    <m/>
  </r>
  <r>
    <x v="15"/>
    <x v="6"/>
    <m/>
    <m/>
    <m/>
    <m/>
    <m/>
    <m/>
    <m/>
    <n v="47.459555555555561"/>
    <m/>
    <m/>
    <m/>
    <m/>
    <m/>
    <m/>
    <m/>
    <m/>
    <m/>
    <m/>
    <m/>
    <m/>
    <m/>
    <m/>
    <m/>
  </r>
  <r>
    <x v="15"/>
    <x v="7"/>
    <m/>
    <m/>
    <m/>
    <m/>
    <m/>
    <m/>
    <m/>
    <n v="329.72553128985896"/>
    <m/>
    <m/>
    <m/>
    <m/>
    <m/>
    <m/>
    <m/>
    <m/>
    <m/>
    <m/>
    <m/>
    <m/>
    <m/>
    <m/>
    <m/>
  </r>
  <r>
    <x v="16"/>
    <x v="0"/>
    <m/>
    <m/>
    <m/>
    <m/>
    <m/>
    <m/>
    <m/>
    <n v="18.849618849618849"/>
    <m/>
    <m/>
    <m/>
    <m/>
    <m/>
    <m/>
    <m/>
    <m/>
    <m/>
    <m/>
    <m/>
    <m/>
    <m/>
    <m/>
    <m/>
  </r>
  <r>
    <x v="16"/>
    <x v="1"/>
    <m/>
    <m/>
    <m/>
    <m/>
    <m/>
    <m/>
    <m/>
    <n v="51.365211365211366"/>
    <m/>
    <m/>
    <m/>
    <m/>
    <m/>
    <m/>
    <m/>
    <m/>
    <m/>
    <m/>
    <m/>
    <m/>
    <m/>
    <m/>
    <m/>
  </r>
  <r>
    <x v="16"/>
    <x v="2"/>
    <m/>
    <m/>
    <m/>
    <m/>
    <m/>
    <m/>
    <m/>
    <n v="49.480249480249483"/>
    <m/>
    <m/>
    <m/>
    <m/>
    <m/>
    <m/>
    <m/>
    <m/>
    <m/>
    <m/>
    <m/>
    <m/>
    <m/>
    <m/>
    <m/>
  </r>
  <r>
    <x v="16"/>
    <x v="3"/>
    <m/>
    <m/>
    <m/>
    <m/>
    <m/>
    <m/>
    <m/>
    <n v="48.537768537768542"/>
    <m/>
    <m/>
    <m/>
    <m/>
    <m/>
    <m/>
    <m/>
    <m/>
    <m/>
    <m/>
    <m/>
    <m/>
    <m/>
    <m/>
    <m/>
  </r>
  <r>
    <x v="16"/>
    <x v="4"/>
    <m/>
    <m/>
    <m/>
    <m/>
    <m/>
    <m/>
    <m/>
    <n v="47.595287595287601"/>
    <m/>
    <m/>
    <m/>
    <m/>
    <m/>
    <m/>
    <m/>
    <m/>
    <m/>
    <m/>
    <m/>
    <m/>
    <m/>
    <m/>
    <m/>
  </r>
  <r>
    <x v="16"/>
    <x v="5"/>
    <m/>
    <m/>
    <m/>
    <m/>
    <m/>
    <m/>
    <m/>
    <n v="46.181566181566183"/>
    <m/>
    <m/>
    <m/>
    <m/>
    <m/>
    <m/>
    <m/>
    <m/>
    <m/>
    <m/>
    <m/>
    <m/>
    <m/>
    <m/>
    <m/>
  </r>
  <r>
    <x v="16"/>
    <x v="6"/>
    <m/>
    <m/>
    <m/>
    <m/>
    <m/>
    <m/>
    <m/>
    <n v="44.296604296604301"/>
    <m/>
    <m/>
    <m/>
    <m/>
    <m/>
    <m/>
    <m/>
    <m/>
    <m/>
    <m/>
    <m/>
    <m/>
    <m/>
    <m/>
    <m/>
  </r>
  <r>
    <x v="16"/>
    <x v="7"/>
    <m/>
    <m/>
    <m/>
    <m/>
    <m/>
    <m/>
    <m/>
    <n v="306.84747830760114"/>
    <m/>
    <m/>
    <m/>
    <m/>
    <m/>
    <m/>
    <m/>
    <m/>
    <m/>
    <m/>
    <m/>
    <m/>
    <m/>
    <m/>
    <m/>
  </r>
  <r>
    <x v="17"/>
    <x v="0"/>
    <m/>
    <m/>
    <m/>
    <m/>
    <m/>
    <m/>
    <m/>
    <n v="8.0685829551185062"/>
    <m/>
    <m/>
    <m/>
    <m/>
    <m/>
    <m/>
    <m/>
    <m/>
    <m/>
    <m/>
    <m/>
    <m/>
    <m/>
    <m/>
    <m/>
  </r>
  <r>
    <x v="17"/>
    <x v="1"/>
    <m/>
    <m/>
    <m/>
    <m/>
    <m/>
    <m/>
    <m/>
    <n v="21.986888552697931"/>
    <m/>
    <m/>
    <m/>
    <m/>
    <m/>
    <m/>
    <m/>
    <m/>
    <m/>
    <m/>
    <m/>
    <m/>
    <m/>
    <m/>
    <m/>
  </r>
  <r>
    <x v="17"/>
    <x v="2"/>
    <m/>
    <m/>
    <m/>
    <m/>
    <m/>
    <m/>
    <m/>
    <n v="21.180030257186079"/>
    <m/>
    <m/>
    <m/>
    <m/>
    <m/>
    <m/>
    <m/>
    <m/>
    <m/>
    <m/>
    <m/>
    <m/>
    <m/>
    <m/>
    <m/>
  </r>
  <r>
    <x v="17"/>
    <x v="3"/>
    <m/>
    <m/>
    <m/>
    <m/>
    <m/>
    <m/>
    <m/>
    <n v="20.776601109430157"/>
    <m/>
    <m/>
    <m/>
    <m/>
    <m/>
    <m/>
    <m/>
    <m/>
    <m/>
    <m/>
    <m/>
    <m/>
    <m/>
    <m/>
    <m/>
  </r>
  <r>
    <x v="17"/>
    <x v="4"/>
    <m/>
    <m/>
    <m/>
    <m/>
    <m/>
    <m/>
    <m/>
    <n v="20.373171961674231"/>
    <m/>
    <m/>
    <m/>
    <m/>
    <m/>
    <m/>
    <m/>
    <m/>
    <m/>
    <m/>
    <m/>
    <m/>
    <m/>
    <m/>
    <m/>
  </r>
  <r>
    <x v="17"/>
    <x v="5"/>
    <m/>
    <m/>
    <m/>
    <m/>
    <m/>
    <m/>
    <m/>
    <n v="19.768028240040344"/>
    <m/>
    <m/>
    <m/>
    <m/>
    <m/>
    <m/>
    <m/>
    <m/>
    <m/>
    <m/>
    <m/>
    <m/>
    <m/>
    <m/>
    <m/>
  </r>
  <r>
    <x v="17"/>
    <x v="6"/>
    <m/>
    <m/>
    <m/>
    <m/>
    <m/>
    <m/>
    <m/>
    <n v="18.961169944528493"/>
    <m/>
    <m/>
    <m/>
    <m/>
    <m/>
    <m/>
    <m/>
    <m/>
    <m/>
    <m/>
    <m/>
    <m/>
    <m/>
    <m/>
    <m/>
  </r>
  <r>
    <x v="17"/>
    <x v="7"/>
    <m/>
    <m/>
    <m/>
    <m/>
    <m/>
    <m/>
    <m/>
    <n v="133.34848124779532"/>
    <m/>
    <m/>
    <m/>
    <m/>
    <m/>
    <m/>
    <m/>
    <m/>
    <m/>
    <m/>
    <m/>
    <m/>
    <m/>
    <m/>
    <m/>
  </r>
  <r>
    <x v="18"/>
    <x v="0"/>
    <m/>
    <m/>
    <m/>
    <m/>
    <m/>
    <m/>
    <m/>
    <n v="6.631142687981054"/>
    <m/>
    <m/>
    <m/>
    <m/>
    <m/>
    <m/>
    <m/>
    <m/>
    <m/>
    <m/>
    <m/>
    <m/>
    <m/>
    <m/>
    <m/>
  </r>
  <r>
    <x v="18"/>
    <x v="1"/>
    <m/>
    <m/>
    <m/>
    <m/>
    <m/>
    <m/>
    <m/>
    <n v="18.069863824748374"/>
    <m/>
    <m/>
    <m/>
    <m/>
    <m/>
    <m/>
    <m/>
    <m/>
    <m/>
    <m/>
    <m/>
    <m/>
    <m/>
    <m/>
    <m/>
  </r>
  <r>
    <x v="18"/>
    <x v="2"/>
    <m/>
    <m/>
    <m/>
    <m/>
    <m/>
    <m/>
    <m/>
    <n v="17.406749555950267"/>
    <m/>
    <m/>
    <m/>
    <m/>
    <m/>
    <m/>
    <m/>
    <m/>
    <m/>
    <m/>
    <m/>
    <m/>
    <m/>
    <m/>
    <m/>
  </r>
  <r>
    <x v="18"/>
    <x v="3"/>
    <m/>
    <m/>
    <m/>
    <m/>
    <m/>
    <m/>
    <m/>
    <n v="17.075192421551215"/>
    <m/>
    <m/>
    <m/>
    <m/>
    <m/>
    <m/>
    <m/>
    <m/>
    <m/>
    <m/>
    <m/>
    <m/>
    <m/>
    <m/>
    <m/>
  </r>
  <r>
    <x v="18"/>
    <x v="4"/>
    <m/>
    <m/>
    <m/>
    <m/>
    <m/>
    <m/>
    <m/>
    <n v="16.743635287152163"/>
    <m/>
    <m/>
    <m/>
    <m/>
    <m/>
    <m/>
    <m/>
    <m/>
    <m/>
    <m/>
    <m/>
    <m/>
    <m/>
    <m/>
    <m/>
  </r>
  <r>
    <x v="18"/>
    <x v="5"/>
    <m/>
    <m/>
    <m/>
    <m/>
    <m/>
    <m/>
    <m/>
    <n v="16.246299585553583"/>
    <m/>
    <m/>
    <m/>
    <m/>
    <m/>
    <m/>
    <m/>
    <m/>
    <m/>
    <m/>
    <m/>
    <m/>
    <m/>
    <m/>
    <m/>
  </r>
  <r>
    <x v="18"/>
    <x v="6"/>
    <m/>
    <m/>
    <m/>
    <m/>
    <m/>
    <m/>
    <m/>
    <n v="15.583185316755479"/>
    <m/>
    <m/>
    <m/>
    <m/>
    <m/>
    <m/>
    <m/>
    <m/>
    <m/>
    <m/>
    <m/>
    <m/>
    <m/>
    <m/>
    <m/>
  </r>
  <r>
    <x v="18"/>
    <x v="7"/>
    <m/>
    <m/>
    <m/>
    <m/>
    <m/>
    <m/>
    <m/>
    <n v="107.75606867969213"/>
    <m/>
    <m/>
    <m/>
    <m/>
    <m/>
    <m/>
    <m/>
    <m/>
    <m/>
    <m/>
    <m/>
    <m/>
    <m/>
    <m/>
    <m/>
  </r>
  <r>
    <x v="19"/>
    <x v="0"/>
    <m/>
    <m/>
    <m/>
    <m/>
    <m/>
    <m/>
    <m/>
    <n v="3.2993367887198346"/>
    <m/>
    <m/>
    <m/>
    <m/>
    <m/>
    <m/>
    <m/>
    <m/>
    <m/>
    <m/>
    <m/>
    <m/>
    <m/>
    <m/>
    <m/>
  </r>
  <r>
    <x v="19"/>
    <x v="1"/>
    <m/>
    <m/>
    <m/>
    <m/>
    <m/>
    <m/>
    <m/>
    <n v="8.9906927492615516"/>
    <m/>
    <m/>
    <m/>
    <m/>
    <m/>
    <m/>
    <m/>
    <m/>
    <m/>
    <m/>
    <m/>
    <m/>
    <m/>
    <m/>
    <m/>
  </r>
  <r>
    <x v="19"/>
    <x v="2"/>
    <m/>
    <m/>
    <m/>
    <m/>
    <m/>
    <m/>
    <m/>
    <n v="8.6607590703895667"/>
    <m/>
    <m/>
    <m/>
    <m/>
    <m/>
    <m/>
    <m/>
    <m/>
    <m/>
    <m/>
    <m/>
    <m/>
    <m/>
    <m/>
    <m/>
  </r>
  <r>
    <x v="19"/>
    <x v="3"/>
    <m/>
    <m/>
    <m/>
    <m/>
    <m/>
    <m/>
    <m/>
    <n v="8.4957922309535743"/>
    <m/>
    <m/>
    <m/>
    <m/>
    <m/>
    <m/>
    <m/>
    <m/>
    <m/>
    <m/>
    <m/>
    <m/>
    <m/>
    <m/>
    <m/>
  </r>
  <r>
    <x v="19"/>
    <x v="4"/>
    <m/>
    <m/>
    <m/>
    <m/>
    <m/>
    <m/>
    <m/>
    <n v="8.3308253915175818"/>
    <m/>
    <m/>
    <m/>
    <m/>
    <m/>
    <m/>
    <m/>
    <m/>
    <m/>
    <m/>
    <m/>
    <m/>
    <m/>
    <m/>
    <m/>
  </r>
  <r>
    <x v="19"/>
    <x v="5"/>
    <m/>
    <m/>
    <m/>
    <m/>
    <m/>
    <m/>
    <m/>
    <n v="8.0833751323635941"/>
    <m/>
    <m/>
    <m/>
    <m/>
    <m/>
    <m/>
    <m/>
    <m/>
    <m/>
    <m/>
    <m/>
    <m/>
    <m/>
    <m/>
    <m/>
  </r>
  <r>
    <x v="19"/>
    <x v="6"/>
    <m/>
    <m/>
    <m/>
    <m/>
    <m/>
    <m/>
    <m/>
    <n v="7.7534414534916118"/>
    <m/>
    <m/>
    <m/>
    <m/>
    <m/>
    <m/>
    <m/>
    <m/>
    <m/>
    <m/>
    <m/>
    <m/>
    <m/>
    <m/>
    <m/>
  </r>
  <r>
    <x v="19"/>
    <x v="7"/>
    <m/>
    <m/>
    <m/>
    <m/>
    <m/>
    <m/>
    <m/>
    <n v="53.541193406755788"/>
    <m/>
    <m/>
    <m/>
    <m/>
    <m/>
    <m/>
    <m/>
    <m/>
    <m/>
    <m/>
    <m/>
    <m/>
    <m/>
    <m/>
    <m/>
  </r>
  <r>
    <x v="20"/>
    <x v="0"/>
    <m/>
    <m/>
    <m/>
    <m/>
    <m/>
    <m/>
    <m/>
    <n v="25.631923395501669"/>
    <m/>
    <m/>
    <m/>
    <m/>
    <m/>
    <m/>
    <m/>
    <m/>
    <m/>
    <m/>
    <m/>
    <m/>
    <m/>
    <m/>
    <m/>
  </r>
  <r>
    <x v="20"/>
    <x v="1"/>
    <m/>
    <m/>
    <m/>
    <m/>
    <m/>
    <m/>
    <m/>
    <n v="69.846991252742043"/>
    <m/>
    <m/>
    <m/>
    <m/>
    <m/>
    <m/>
    <m/>
    <m/>
    <m/>
    <m/>
    <m/>
    <m/>
    <m/>
    <m/>
    <m/>
  </r>
  <r>
    <x v="20"/>
    <x v="2"/>
    <m/>
    <m/>
    <m/>
    <m/>
    <m/>
    <m/>
    <m/>
    <n v="67.283798913191887"/>
    <m/>
    <m/>
    <m/>
    <m/>
    <m/>
    <m/>
    <m/>
    <m/>
    <m/>
    <m/>
    <m/>
    <m/>
    <m/>
    <m/>
    <m/>
  </r>
  <r>
    <x v="20"/>
    <x v="3"/>
    <m/>
    <m/>
    <m/>
    <m/>
    <m/>
    <m/>
    <m/>
    <n v="66.002202743416802"/>
    <m/>
    <m/>
    <m/>
    <m/>
    <m/>
    <m/>
    <m/>
    <m/>
    <m/>
    <m/>
    <m/>
    <m/>
    <m/>
    <m/>
    <m/>
  </r>
  <r>
    <x v="20"/>
    <x v="4"/>
    <m/>
    <m/>
    <m/>
    <m/>
    <m/>
    <m/>
    <m/>
    <n v="64.720606573641703"/>
    <m/>
    <m/>
    <m/>
    <m/>
    <m/>
    <m/>
    <m/>
    <m/>
    <m/>
    <m/>
    <m/>
    <m/>
    <m/>
    <m/>
    <m/>
  </r>
  <r>
    <x v="20"/>
    <x v="5"/>
    <m/>
    <m/>
    <m/>
    <m/>
    <m/>
    <m/>
    <m/>
    <n v="62.798212318979083"/>
    <m/>
    <m/>
    <m/>
    <m/>
    <m/>
    <m/>
    <m/>
    <m/>
    <m/>
    <m/>
    <m/>
    <m/>
    <m/>
    <m/>
    <m/>
  </r>
  <r>
    <x v="20"/>
    <x v="6"/>
    <m/>
    <m/>
    <m/>
    <m/>
    <m/>
    <m/>
    <m/>
    <n v="60.235019979428913"/>
    <m/>
    <m/>
    <m/>
    <m/>
    <m/>
    <m/>
    <m/>
    <m/>
    <m/>
    <m/>
    <m/>
    <m/>
    <m/>
    <m/>
    <m/>
  </r>
  <r>
    <x v="20"/>
    <x v="7"/>
    <m/>
    <m/>
    <m/>
    <m/>
    <m/>
    <m/>
    <m/>
    <n v="416.48330905382255"/>
    <m/>
    <m/>
    <m/>
    <m/>
    <m/>
    <m/>
    <m/>
    <m/>
    <m/>
    <m/>
    <m/>
    <m/>
    <m/>
    <m/>
    <m/>
  </r>
  <r>
    <x v="21"/>
    <x v="0"/>
    <m/>
    <m/>
    <m/>
    <m/>
    <m/>
    <m/>
    <m/>
    <n v="9.4235588972431064"/>
    <m/>
    <m/>
    <m/>
    <m/>
    <m/>
    <m/>
    <m/>
    <m/>
    <m/>
    <m/>
    <m/>
    <m/>
    <m/>
    <m/>
    <m/>
  </r>
  <r>
    <x v="21"/>
    <x v="1"/>
    <m/>
    <m/>
    <m/>
    <m/>
    <m/>
    <m/>
    <m/>
    <n v="25.679197994987469"/>
    <m/>
    <m/>
    <m/>
    <m/>
    <m/>
    <m/>
    <m/>
    <m/>
    <m/>
    <m/>
    <m/>
    <m/>
    <m/>
    <m/>
    <m/>
  </r>
  <r>
    <x v="21"/>
    <x v="2"/>
    <m/>
    <m/>
    <m/>
    <m/>
    <m/>
    <m/>
    <m/>
    <n v="24.736842105263154"/>
    <m/>
    <m/>
    <m/>
    <m/>
    <m/>
    <m/>
    <m/>
    <m/>
    <m/>
    <m/>
    <m/>
    <m/>
    <m/>
    <m/>
    <m/>
  </r>
  <r>
    <x v="21"/>
    <x v="3"/>
    <m/>
    <m/>
    <m/>
    <m/>
    <m/>
    <m/>
    <m/>
    <n v="24.265664160401002"/>
    <m/>
    <m/>
    <m/>
    <m/>
    <m/>
    <m/>
    <m/>
    <m/>
    <m/>
    <m/>
    <m/>
    <m/>
    <m/>
    <m/>
    <m/>
  </r>
  <r>
    <x v="21"/>
    <x v="4"/>
    <m/>
    <m/>
    <m/>
    <m/>
    <m/>
    <m/>
    <m/>
    <n v="23.794486215538843"/>
    <m/>
    <m/>
    <m/>
    <m/>
    <m/>
    <m/>
    <m/>
    <m/>
    <m/>
    <m/>
    <m/>
    <m/>
    <m/>
    <m/>
    <m/>
  </r>
  <r>
    <x v="21"/>
    <x v="5"/>
    <m/>
    <m/>
    <m/>
    <m/>
    <m/>
    <m/>
    <m/>
    <n v="23.087719298245613"/>
    <m/>
    <m/>
    <m/>
    <m/>
    <m/>
    <m/>
    <m/>
    <m/>
    <m/>
    <m/>
    <m/>
    <m/>
    <m/>
    <m/>
    <m/>
  </r>
  <r>
    <x v="21"/>
    <x v="6"/>
    <m/>
    <m/>
    <m/>
    <m/>
    <m/>
    <m/>
    <m/>
    <n v="22.145363408521302"/>
    <m/>
    <m/>
    <m/>
    <m/>
    <m/>
    <m/>
    <m/>
    <m/>
    <m/>
    <m/>
    <m/>
    <m/>
    <m/>
    <m/>
    <m/>
  </r>
  <r>
    <x v="21"/>
    <x v="7"/>
    <m/>
    <m/>
    <m/>
    <m/>
    <m/>
    <m/>
    <m/>
    <n v="153.27744578172559"/>
    <m/>
    <m/>
    <m/>
    <m/>
    <m/>
    <m/>
    <m/>
    <m/>
    <m/>
    <m/>
    <m/>
    <m/>
    <m/>
    <m/>
    <m/>
  </r>
  <r>
    <x v="22"/>
    <x v="0"/>
    <m/>
    <m/>
    <m/>
    <m/>
    <m/>
    <m/>
    <m/>
    <n v="25.872316621215298"/>
    <m/>
    <m/>
    <m/>
    <m/>
    <m/>
    <m/>
    <m/>
    <m/>
    <m/>
    <m/>
    <m/>
    <m/>
    <m/>
    <m/>
    <m/>
  </r>
  <r>
    <x v="22"/>
    <x v="1"/>
    <m/>
    <m/>
    <m/>
    <m/>
    <m/>
    <m/>
    <m/>
    <n v="70.502062792811685"/>
    <m/>
    <m/>
    <m/>
    <m/>
    <m/>
    <m/>
    <m/>
    <m/>
    <m/>
    <m/>
    <m/>
    <m/>
    <m/>
    <m/>
    <m/>
  </r>
  <r>
    <x v="22"/>
    <x v="2"/>
    <m/>
    <m/>
    <m/>
    <m/>
    <m/>
    <m/>
    <m/>
    <n v="67.91483113069016"/>
    <m/>
    <m/>
    <m/>
    <m/>
    <m/>
    <m/>
    <m/>
    <m/>
    <m/>
    <m/>
    <m/>
    <m/>
    <m/>
    <m/>
    <m/>
  </r>
  <r>
    <x v="22"/>
    <x v="3"/>
    <m/>
    <m/>
    <m/>
    <m/>
    <m/>
    <m/>
    <m/>
    <n v="66.621215299629384"/>
    <m/>
    <m/>
    <m/>
    <m/>
    <m/>
    <m/>
    <m/>
    <m/>
    <m/>
    <m/>
    <m/>
    <m/>
    <m/>
    <m/>
    <m/>
  </r>
  <r>
    <x v="22"/>
    <x v="4"/>
    <m/>
    <m/>
    <m/>
    <m/>
    <m/>
    <m/>
    <m/>
    <n v="65.327599468568636"/>
    <m/>
    <m/>
    <m/>
    <m/>
    <m/>
    <m/>
    <m/>
    <m/>
    <m/>
    <m/>
    <m/>
    <m/>
    <m/>
    <m/>
    <m/>
  </r>
  <r>
    <x v="22"/>
    <x v="5"/>
    <m/>
    <m/>
    <m/>
    <m/>
    <m/>
    <m/>
    <m/>
    <n v="63.387175721977485"/>
    <m/>
    <m/>
    <m/>
    <m/>
    <m/>
    <m/>
    <m/>
    <m/>
    <m/>
    <m/>
    <m/>
    <m/>
    <m/>
    <m/>
    <m/>
  </r>
  <r>
    <x v="22"/>
    <x v="6"/>
    <m/>
    <m/>
    <m/>
    <m/>
    <m/>
    <m/>
    <m/>
    <n v="60.799944059855946"/>
    <m/>
    <m/>
    <m/>
    <m/>
    <m/>
    <m/>
    <m/>
    <m/>
    <m/>
    <m/>
    <m/>
    <m/>
    <m/>
    <m/>
    <m/>
  </r>
  <r>
    <x v="22"/>
    <x v="7"/>
    <m/>
    <m/>
    <m/>
    <m/>
    <m/>
    <m/>
    <m/>
    <n v="420.43754208082856"/>
    <m/>
    <m/>
    <m/>
    <m/>
    <m/>
    <m/>
    <m/>
    <m/>
    <m/>
    <m/>
    <m/>
    <m/>
    <m/>
    <m/>
    <m/>
  </r>
  <r>
    <x v="23"/>
    <x v="0"/>
    <m/>
    <m/>
    <m/>
    <m/>
    <m/>
    <m/>
    <m/>
    <n v="23.102918586789553"/>
    <m/>
    <m/>
    <m/>
    <m/>
    <m/>
    <m/>
    <m/>
    <m/>
    <m/>
    <m/>
    <m/>
    <m/>
    <m/>
    <m/>
    <m/>
  </r>
  <r>
    <x v="23"/>
    <x v="1"/>
    <m/>
    <m/>
    <m/>
    <m/>
    <m/>
    <m/>
    <m/>
    <n v="62.955453149001535"/>
    <m/>
    <m/>
    <m/>
    <m/>
    <m/>
    <m/>
    <m/>
    <m/>
    <m/>
    <m/>
    <m/>
    <m/>
    <m/>
    <m/>
    <m/>
  </r>
  <r>
    <x v="23"/>
    <x v="2"/>
    <m/>
    <m/>
    <m/>
    <m/>
    <m/>
    <m/>
    <m/>
    <n v="60.645161290322584"/>
    <m/>
    <m/>
    <m/>
    <m/>
    <m/>
    <m/>
    <m/>
    <m/>
    <m/>
    <m/>
    <m/>
    <m/>
    <m/>
    <m/>
    <m/>
  </r>
  <r>
    <x v="23"/>
    <x v="3"/>
    <m/>
    <m/>
    <m/>
    <m/>
    <m/>
    <m/>
    <m/>
    <n v="59.490015360983108"/>
    <m/>
    <m/>
    <m/>
    <m/>
    <m/>
    <m/>
    <m/>
    <m/>
    <m/>
    <m/>
    <m/>
    <m/>
    <m/>
    <m/>
    <m/>
  </r>
  <r>
    <x v="23"/>
    <x v="4"/>
    <m/>
    <m/>
    <m/>
    <m/>
    <m/>
    <m/>
    <m/>
    <n v="58.334869431643625"/>
    <m/>
    <m/>
    <m/>
    <m/>
    <m/>
    <m/>
    <m/>
    <m/>
    <m/>
    <m/>
    <m/>
    <m/>
    <m/>
    <m/>
    <m/>
  </r>
  <r>
    <x v="23"/>
    <x v="5"/>
    <m/>
    <m/>
    <m/>
    <m/>
    <m/>
    <m/>
    <m/>
    <n v="56.602150537634408"/>
    <m/>
    <m/>
    <m/>
    <m/>
    <m/>
    <m/>
    <m/>
    <m/>
    <m/>
    <m/>
    <m/>
    <m/>
    <m/>
    <m/>
    <m/>
  </r>
  <r>
    <x v="23"/>
    <x v="6"/>
    <m/>
    <m/>
    <m/>
    <m/>
    <m/>
    <m/>
    <m/>
    <n v="54.291858678955457"/>
    <m/>
    <m/>
    <m/>
    <m/>
    <m/>
    <m/>
    <m/>
    <m/>
    <m/>
    <m/>
    <m/>
    <m/>
    <m/>
    <m/>
    <m/>
  </r>
  <r>
    <x v="23"/>
    <x v="7"/>
    <m/>
    <m/>
    <m/>
    <m/>
    <m/>
    <m/>
    <m/>
    <n v="376.17279861656198"/>
    <m/>
    <m/>
    <m/>
    <m/>
    <m/>
    <m/>
    <m/>
    <m/>
    <m/>
    <m/>
    <m/>
    <m/>
    <m/>
    <m/>
    <m/>
  </r>
  <r>
    <x v="24"/>
    <x v="0"/>
    <m/>
    <m/>
    <m/>
    <m/>
    <m/>
    <m/>
    <m/>
    <n v="13.810420590081605"/>
    <m/>
    <m/>
    <m/>
    <m/>
    <m/>
    <m/>
    <m/>
    <m/>
    <m/>
    <m/>
    <m/>
    <m/>
    <m/>
    <m/>
    <m/>
  </r>
  <r>
    <x v="24"/>
    <x v="1"/>
    <m/>
    <m/>
    <m/>
    <m/>
    <m/>
    <m/>
    <m/>
    <n v="37.633396107972374"/>
    <m/>
    <m/>
    <m/>
    <m/>
    <m/>
    <m/>
    <m/>
    <m/>
    <m/>
    <m/>
    <m/>
    <m/>
    <m/>
    <m/>
    <m/>
  </r>
  <r>
    <x v="24"/>
    <x v="2"/>
    <m/>
    <m/>
    <m/>
    <m/>
    <m/>
    <m/>
    <m/>
    <n v="36.252354048964214"/>
    <m/>
    <m/>
    <m/>
    <m/>
    <m/>
    <m/>
    <m/>
    <m/>
    <m/>
    <m/>
    <m/>
    <m/>
    <m/>
    <m/>
    <m/>
  </r>
  <r>
    <x v="24"/>
    <x v="3"/>
    <m/>
    <m/>
    <m/>
    <m/>
    <m/>
    <m/>
    <m/>
    <n v="35.561833019460138"/>
    <m/>
    <m/>
    <m/>
    <m/>
    <m/>
    <m/>
    <m/>
    <m/>
    <m/>
    <m/>
    <m/>
    <m/>
    <m/>
    <m/>
    <m/>
  </r>
  <r>
    <x v="24"/>
    <x v="4"/>
    <m/>
    <m/>
    <m/>
    <m/>
    <m/>
    <m/>
    <m/>
    <n v="34.871311989956055"/>
    <m/>
    <m/>
    <m/>
    <m/>
    <m/>
    <m/>
    <m/>
    <m/>
    <m/>
    <m/>
    <m/>
    <m/>
    <m/>
    <m/>
    <m/>
  </r>
  <r>
    <x v="24"/>
    <x v="5"/>
    <m/>
    <m/>
    <m/>
    <m/>
    <m/>
    <m/>
    <m/>
    <n v="33.835530445699931"/>
    <m/>
    <m/>
    <m/>
    <m/>
    <m/>
    <m/>
    <m/>
    <m/>
    <m/>
    <m/>
    <m/>
    <m/>
    <m/>
    <m/>
    <m/>
  </r>
  <r>
    <x v="24"/>
    <x v="6"/>
    <m/>
    <m/>
    <m/>
    <m/>
    <m/>
    <m/>
    <m/>
    <n v="32.454488386691771"/>
    <m/>
    <m/>
    <m/>
    <m/>
    <m/>
    <m/>
    <m/>
    <m/>
    <m/>
    <m/>
    <m/>
    <m/>
    <m/>
    <m/>
    <m/>
  </r>
  <r>
    <x v="24"/>
    <x v="7"/>
    <m/>
    <m/>
    <m/>
    <m/>
    <m/>
    <m/>
    <m/>
    <n v="224.57406624826297"/>
    <m/>
    <m/>
    <m/>
    <m/>
    <m/>
    <m/>
    <m/>
    <m/>
    <m/>
    <m/>
    <m/>
    <m/>
    <m/>
    <m/>
    <m/>
  </r>
  <r>
    <x v="25"/>
    <x v="0"/>
    <m/>
    <m/>
    <m/>
    <m/>
    <m/>
    <m/>
    <m/>
    <n v="11.539832716303307"/>
    <m/>
    <m/>
    <m/>
    <m/>
    <m/>
    <m/>
    <m/>
    <m/>
    <m/>
    <m/>
    <m/>
    <m/>
    <m/>
    <m/>
    <m/>
  </r>
  <r>
    <x v="25"/>
    <x v="1"/>
    <m/>
    <m/>
    <m/>
    <m/>
    <m/>
    <m/>
    <m/>
    <n v="31.446044151926507"/>
    <m/>
    <m/>
    <m/>
    <m/>
    <m/>
    <m/>
    <m/>
    <m/>
    <m/>
    <m/>
    <m/>
    <m/>
    <m/>
    <m/>
    <m/>
  </r>
  <r>
    <x v="25"/>
    <x v="2"/>
    <m/>
    <m/>
    <m/>
    <m/>
    <m/>
    <m/>
    <m/>
    <n v="30.292060880296177"/>
    <m/>
    <m/>
    <m/>
    <m/>
    <m/>
    <m/>
    <m/>
    <m/>
    <m/>
    <m/>
    <m/>
    <m/>
    <m/>
    <m/>
    <m/>
  </r>
  <r>
    <x v="25"/>
    <x v="3"/>
    <m/>
    <m/>
    <m/>
    <m/>
    <m/>
    <m/>
    <m/>
    <n v="29.715069244481011"/>
    <m/>
    <m/>
    <m/>
    <m/>
    <m/>
    <m/>
    <m/>
    <m/>
    <m/>
    <m/>
    <m/>
    <m/>
    <m/>
    <m/>
    <m/>
  </r>
  <r>
    <x v="25"/>
    <x v="4"/>
    <m/>
    <m/>
    <m/>
    <m/>
    <m/>
    <m/>
    <m/>
    <n v="29.138077608665846"/>
    <m/>
    <m/>
    <m/>
    <m/>
    <m/>
    <m/>
    <m/>
    <m/>
    <m/>
    <m/>
    <m/>
    <m/>
    <m/>
    <m/>
    <m/>
  </r>
  <r>
    <x v="25"/>
    <x v="5"/>
    <m/>
    <m/>
    <m/>
    <m/>
    <m/>
    <m/>
    <m/>
    <n v="28.272590154943099"/>
    <m/>
    <m/>
    <m/>
    <m/>
    <m/>
    <m/>
    <m/>
    <m/>
    <m/>
    <m/>
    <m/>
    <m/>
    <m/>
    <m/>
    <m/>
  </r>
  <r>
    <x v="25"/>
    <x v="6"/>
    <m/>
    <m/>
    <m/>
    <m/>
    <m/>
    <m/>
    <m/>
    <n v="27.118606883312768"/>
    <m/>
    <m/>
    <m/>
    <m/>
    <m/>
    <m/>
    <m/>
    <m/>
    <m/>
    <m/>
    <m/>
    <m/>
    <m/>
    <m/>
    <m/>
  </r>
  <r>
    <x v="25"/>
    <x v="7"/>
    <m/>
    <m/>
    <m/>
    <m/>
    <m/>
    <m/>
    <m/>
    <n v="187.5163754454677"/>
    <m/>
    <m/>
    <m/>
    <m/>
    <m/>
    <m/>
    <m/>
    <m/>
    <m/>
    <m/>
    <m/>
    <m/>
    <m/>
    <m/>
    <m/>
  </r>
  <r>
    <x v="26"/>
    <x v="0"/>
    <m/>
    <m/>
    <m/>
    <m/>
    <m/>
    <m/>
    <m/>
    <n v="3.1336871367197374"/>
    <m/>
    <m/>
    <m/>
    <m/>
    <m/>
    <m/>
    <m/>
    <m/>
    <m/>
    <m/>
    <m/>
    <m/>
    <m/>
    <m/>
    <m/>
  </r>
  <r>
    <x v="26"/>
    <x v="1"/>
    <m/>
    <m/>
    <m/>
    <m/>
    <m/>
    <m/>
    <m/>
    <n v="8.5392974475612835"/>
    <m/>
    <m/>
    <m/>
    <m/>
    <m/>
    <m/>
    <m/>
    <m/>
    <m/>
    <m/>
    <m/>
    <m/>
    <m/>
    <m/>
    <m/>
  </r>
  <r>
    <x v="26"/>
    <x v="2"/>
    <m/>
    <m/>
    <m/>
    <m/>
    <m/>
    <m/>
    <m/>
    <n v="8.2259287338893099"/>
    <m/>
    <m/>
    <m/>
    <m/>
    <m/>
    <m/>
    <m/>
    <m/>
    <m/>
    <m/>
    <m/>
    <m/>
    <m/>
    <m/>
    <m/>
  </r>
  <r>
    <x v="26"/>
    <x v="3"/>
    <m/>
    <m/>
    <m/>
    <m/>
    <m/>
    <m/>
    <m/>
    <n v="8.0692443770533231"/>
    <m/>
    <m/>
    <m/>
    <m/>
    <m/>
    <m/>
    <m/>
    <m/>
    <m/>
    <m/>
    <m/>
    <m/>
    <m/>
    <m/>
    <m/>
  </r>
  <r>
    <x v="26"/>
    <x v="4"/>
    <m/>
    <m/>
    <m/>
    <m/>
    <m/>
    <m/>
    <m/>
    <n v="7.9125600202173363"/>
    <m/>
    <m/>
    <m/>
    <m/>
    <m/>
    <m/>
    <m/>
    <m/>
    <m/>
    <m/>
    <m/>
    <m/>
    <m/>
    <m/>
    <m/>
  </r>
  <r>
    <x v="26"/>
    <x v="5"/>
    <m/>
    <m/>
    <m/>
    <m/>
    <m/>
    <m/>
    <m/>
    <n v="7.677533484963357"/>
    <m/>
    <m/>
    <m/>
    <m/>
    <m/>
    <m/>
    <m/>
    <m/>
    <m/>
    <m/>
    <m/>
    <m/>
    <m/>
    <m/>
    <m/>
  </r>
  <r>
    <x v="26"/>
    <x v="6"/>
    <m/>
    <m/>
    <m/>
    <m/>
    <m/>
    <m/>
    <m/>
    <n v="7.3641647712913825"/>
    <m/>
    <m/>
    <m/>
    <m/>
    <m/>
    <m/>
    <m/>
    <m/>
    <m/>
    <m/>
    <m/>
    <m/>
    <m/>
    <m/>
    <m/>
  </r>
  <r>
    <x v="26"/>
    <x v="7"/>
    <m/>
    <m/>
    <m/>
    <m/>
    <m/>
    <m/>
    <m/>
    <n v="50.595935183268317"/>
    <m/>
    <m/>
    <m/>
    <m/>
    <m/>
    <m/>
    <m/>
    <m/>
    <m/>
    <m/>
    <m/>
    <m/>
    <m/>
    <m/>
    <m/>
  </r>
  <r>
    <x v="27"/>
    <x v="0"/>
    <m/>
    <m/>
    <m/>
    <m/>
    <m/>
    <m/>
    <m/>
    <n v="11.910702375626624"/>
    <m/>
    <m/>
    <m/>
    <m/>
    <m/>
    <m/>
    <m/>
    <m/>
    <m/>
    <m/>
    <m/>
    <m/>
    <m/>
    <m/>
    <m/>
  </r>
  <r>
    <x v="27"/>
    <x v="1"/>
    <m/>
    <m/>
    <m/>
    <m/>
    <m/>
    <m/>
    <m/>
    <n v="32.45666397358255"/>
    <m/>
    <m/>
    <m/>
    <m/>
    <m/>
    <m/>
    <m/>
    <m/>
    <m/>
    <m/>
    <m/>
    <m/>
    <m/>
    <m/>
    <m/>
  </r>
  <r>
    <x v="27"/>
    <x v="2"/>
    <m/>
    <m/>
    <m/>
    <m/>
    <m/>
    <m/>
    <m/>
    <n v="31.265593736019888"/>
    <m/>
    <m/>
    <m/>
    <m/>
    <m/>
    <m/>
    <m/>
    <m/>
    <m/>
    <m/>
    <m/>
    <m/>
    <m/>
    <m/>
    <m/>
  </r>
  <r>
    <x v="27"/>
    <x v="3"/>
    <m/>
    <m/>
    <m/>
    <m/>
    <m/>
    <m/>
    <m/>
    <n v="30.67005861723856"/>
    <m/>
    <m/>
    <m/>
    <m/>
    <m/>
    <m/>
    <m/>
    <m/>
    <m/>
    <m/>
    <m/>
    <m/>
    <m/>
    <m/>
    <m/>
  </r>
  <r>
    <x v="27"/>
    <x v="4"/>
    <m/>
    <m/>
    <m/>
    <m/>
    <m/>
    <m/>
    <m/>
    <n v="30.074523498457236"/>
    <m/>
    <m/>
    <m/>
    <m/>
    <m/>
    <m/>
    <m/>
    <m/>
    <m/>
    <m/>
    <m/>
    <m/>
    <m/>
    <m/>
    <m/>
  </r>
  <r>
    <x v="27"/>
    <x v="5"/>
    <m/>
    <m/>
    <m/>
    <m/>
    <m/>
    <m/>
    <m/>
    <n v="29.181220820285223"/>
    <m/>
    <m/>
    <m/>
    <m/>
    <m/>
    <m/>
    <m/>
    <m/>
    <m/>
    <m/>
    <m/>
    <m/>
    <m/>
    <m/>
    <m/>
  </r>
  <r>
    <x v="27"/>
    <x v="6"/>
    <m/>
    <m/>
    <m/>
    <m/>
    <m/>
    <m/>
    <m/>
    <n v="27.990150582722563"/>
    <m/>
    <m/>
    <m/>
    <m/>
    <m/>
    <m/>
    <m/>
    <m/>
    <m/>
    <m/>
    <m/>
    <m/>
    <m/>
    <m/>
    <m/>
  </r>
  <r>
    <x v="27"/>
    <x v="7"/>
    <m/>
    <m/>
    <m/>
    <m/>
    <m/>
    <m/>
    <m/>
    <n v="192.89307714165096"/>
    <m/>
    <m/>
    <m/>
    <m/>
    <m/>
    <m/>
    <m/>
    <m/>
    <m/>
    <m/>
    <m/>
    <m/>
    <m/>
    <m/>
    <m/>
  </r>
  <r>
    <x v="0"/>
    <x v="0"/>
    <m/>
    <m/>
    <m/>
    <m/>
    <m/>
    <m/>
    <m/>
    <m/>
    <n v="0"/>
    <m/>
    <m/>
    <m/>
    <m/>
    <m/>
    <m/>
    <m/>
    <m/>
    <m/>
    <m/>
    <m/>
    <m/>
    <m/>
    <m/>
  </r>
  <r>
    <x v="0"/>
    <x v="1"/>
    <m/>
    <m/>
    <m/>
    <m/>
    <m/>
    <m/>
    <m/>
    <m/>
    <n v="29.781483417561468"/>
    <m/>
    <m/>
    <m/>
    <m/>
    <m/>
    <m/>
    <m/>
    <m/>
    <m/>
    <m/>
    <m/>
    <m/>
    <m/>
    <m/>
  </r>
  <r>
    <x v="0"/>
    <x v="2"/>
    <m/>
    <m/>
    <m/>
    <m/>
    <m/>
    <m/>
    <m/>
    <m/>
    <n v="108.75440462098101"/>
    <m/>
    <m/>
    <m/>
    <m/>
    <m/>
    <m/>
    <m/>
    <m/>
    <m/>
    <m/>
    <m/>
    <m/>
    <m/>
    <m/>
  </r>
  <r>
    <x v="0"/>
    <x v="3"/>
    <m/>
    <m/>
    <m/>
    <m/>
    <m/>
    <m/>
    <m/>
    <m/>
    <n v="146.64323839502552"/>
    <m/>
    <m/>
    <m/>
    <m/>
    <m/>
    <m/>
    <m/>
    <m/>
    <m/>
    <m/>
    <m/>
    <m/>
    <m/>
    <m/>
  </r>
  <r>
    <x v="0"/>
    <x v="4"/>
    <m/>
    <m/>
    <m/>
    <m/>
    <m/>
    <m/>
    <m/>
    <m/>
    <n v="143.4192860867083"/>
    <m/>
    <m/>
    <m/>
    <m/>
    <m/>
    <m/>
    <m/>
    <m/>
    <m/>
    <m/>
    <m/>
    <m/>
    <m/>
    <m/>
  </r>
  <r>
    <x v="0"/>
    <x v="5"/>
    <m/>
    <m/>
    <m/>
    <m/>
    <m/>
    <m/>
    <m/>
    <m/>
    <n v="158.02333034251527"/>
    <m/>
    <m/>
    <m/>
    <m/>
    <m/>
    <m/>
    <m/>
    <m/>
    <m/>
    <m/>
    <m/>
    <m/>
    <m/>
    <m/>
  </r>
  <r>
    <x v="0"/>
    <x v="6"/>
    <m/>
    <m/>
    <m/>
    <m/>
    <m/>
    <m/>
    <m/>
    <m/>
    <n v="114.55089955956126"/>
    <m/>
    <m/>
    <m/>
    <m/>
    <m/>
    <m/>
    <m/>
    <m/>
    <m/>
    <m/>
    <m/>
    <m/>
    <m/>
    <m/>
  </r>
  <r>
    <x v="0"/>
    <x v="7"/>
    <m/>
    <m/>
    <m/>
    <m/>
    <m/>
    <m/>
    <m/>
    <m/>
    <n v="701.17264242235274"/>
    <m/>
    <m/>
    <m/>
    <m/>
    <m/>
    <m/>
    <m/>
    <m/>
    <m/>
    <m/>
    <m/>
    <m/>
    <m/>
    <m/>
  </r>
  <r>
    <x v="1"/>
    <x v="0"/>
    <m/>
    <m/>
    <m/>
    <m/>
    <m/>
    <m/>
    <m/>
    <m/>
    <n v="0"/>
    <m/>
    <m/>
    <m/>
    <m/>
    <m/>
    <m/>
    <m/>
    <m/>
    <m/>
    <m/>
    <m/>
    <m/>
    <m/>
    <m/>
  </r>
  <r>
    <x v="1"/>
    <x v="1"/>
    <m/>
    <m/>
    <m/>
    <m/>
    <m/>
    <m/>
    <m/>
    <m/>
    <n v="29.253406878219447"/>
    <m/>
    <m/>
    <m/>
    <m/>
    <m/>
    <m/>
    <m/>
    <m/>
    <m/>
    <m/>
    <m/>
    <m/>
    <m/>
    <m/>
  </r>
  <r>
    <x v="1"/>
    <x v="2"/>
    <m/>
    <m/>
    <m/>
    <m/>
    <m/>
    <m/>
    <m/>
    <m/>
    <n v="117.33410085439807"/>
    <m/>
    <m/>
    <m/>
    <m/>
    <m/>
    <m/>
    <m/>
    <m/>
    <m/>
    <m/>
    <m/>
    <m/>
    <m/>
    <m/>
  </r>
  <r>
    <x v="1"/>
    <x v="3"/>
    <m/>
    <m/>
    <m/>
    <m/>
    <m/>
    <m/>
    <m/>
    <m/>
    <n v="159.59547194675264"/>
    <m/>
    <m/>
    <m/>
    <m/>
    <m/>
    <m/>
    <m/>
    <m/>
    <m/>
    <m/>
    <m/>
    <m/>
    <m/>
    <m/>
  </r>
  <r>
    <x v="1"/>
    <x v="4"/>
    <m/>
    <m/>
    <m/>
    <m/>
    <m/>
    <m/>
    <m/>
    <m/>
    <n v="156.07728164184221"/>
    <m/>
    <m/>
    <m/>
    <m/>
    <m/>
    <m/>
    <m/>
    <m/>
    <m/>
    <m/>
    <m/>
    <m/>
    <m/>
    <m/>
  </r>
  <r>
    <x v="1"/>
    <x v="5"/>
    <m/>
    <m/>
    <m/>
    <m/>
    <m/>
    <m/>
    <m/>
    <m/>
    <n v="172.44662997949419"/>
    <m/>
    <m/>
    <m/>
    <m/>
    <m/>
    <m/>
    <m/>
    <m/>
    <m/>
    <m/>
    <m/>
    <m/>
    <m/>
    <m/>
  </r>
  <r>
    <x v="1"/>
    <x v="6"/>
    <m/>
    <m/>
    <m/>
    <m/>
    <m/>
    <m/>
    <m/>
    <m/>
    <n v="124.18301253293527"/>
    <m/>
    <m/>
    <m/>
    <m/>
    <m/>
    <m/>
    <m/>
    <m/>
    <m/>
    <m/>
    <m/>
    <m/>
    <m/>
    <m/>
  </r>
  <r>
    <x v="1"/>
    <x v="7"/>
    <m/>
    <m/>
    <m/>
    <m/>
    <m/>
    <m/>
    <m/>
    <m/>
    <n v="758.88990383364194"/>
    <m/>
    <m/>
    <m/>
    <m/>
    <m/>
    <m/>
    <m/>
    <m/>
    <m/>
    <m/>
    <m/>
    <m/>
    <m/>
    <m/>
  </r>
  <r>
    <x v="2"/>
    <x v="0"/>
    <m/>
    <m/>
    <m/>
    <m/>
    <m/>
    <m/>
    <m/>
    <m/>
    <n v="0"/>
    <m/>
    <m/>
    <m/>
    <m/>
    <m/>
    <m/>
    <m/>
    <m/>
    <m/>
    <m/>
    <m/>
    <m/>
    <m/>
    <m/>
  </r>
  <r>
    <x v="2"/>
    <x v="1"/>
    <m/>
    <m/>
    <m/>
    <m/>
    <m/>
    <m/>
    <m/>
    <m/>
    <n v="0"/>
    <m/>
    <m/>
    <m/>
    <m/>
    <m/>
    <m/>
    <m/>
    <m/>
    <m/>
    <m/>
    <m/>
    <m/>
    <m/>
    <m/>
  </r>
  <r>
    <x v="2"/>
    <x v="2"/>
    <m/>
    <m/>
    <m/>
    <m/>
    <m/>
    <m/>
    <m/>
    <m/>
    <n v="33.203442259871103"/>
    <m/>
    <m/>
    <m/>
    <m/>
    <m/>
    <m/>
    <m/>
    <m/>
    <m/>
    <m/>
    <m/>
    <m/>
    <m/>
    <m/>
  </r>
  <r>
    <x v="2"/>
    <x v="3"/>
    <m/>
    <m/>
    <m/>
    <m/>
    <m/>
    <m/>
    <m/>
    <m/>
    <n v="51.850419109943985"/>
    <m/>
    <m/>
    <m/>
    <m/>
    <m/>
    <m/>
    <m/>
    <m/>
    <m/>
    <m/>
    <m/>
    <m/>
    <m/>
    <m/>
  </r>
  <r>
    <x v="2"/>
    <x v="4"/>
    <m/>
    <m/>
    <m/>
    <m/>
    <m/>
    <m/>
    <m/>
    <m/>
    <n v="50.661962003730622"/>
    <m/>
    <m/>
    <m/>
    <m/>
    <m/>
    <m/>
    <m/>
    <m/>
    <m/>
    <m/>
    <m/>
    <m/>
    <m/>
    <m/>
  </r>
  <r>
    <x v="2"/>
    <x v="5"/>
    <m/>
    <m/>
    <m/>
    <m/>
    <m/>
    <m/>
    <m/>
    <m/>
    <n v="58.258360850944058"/>
    <m/>
    <m/>
    <m/>
    <m/>
    <m/>
    <m/>
    <m/>
    <m/>
    <m/>
    <m/>
    <m/>
    <m/>
    <m/>
    <m/>
  </r>
  <r>
    <x v="2"/>
    <x v="6"/>
    <m/>
    <m/>
    <m/>
    <m/>
    <m/>
    <m/>
    <m/>
    <m/>
    <n v="38.018450390498607"/>
    <m/>
    <m/>
    <m/>
    <m/>
    <m/>
    <m/>
    <m/>
    <m/>
    <m/>
    <m/>
    <m/>
    <m/>
    <m/>
    <m/>
  </r>
  <r>
    <x v="2"/>
    <x v="7"/>
    <m/>
    <m/>
    <m/>
    <m/>
    <m/>
    <m/>
    <m/>
    <m/>
    <n v="231.99263461498836"/>
    <m/>
    <m/>
    <m/>
    <m/>
    <m/>
    <m/>
    <m/>
    <m/>
    <m/>
    <m/>
    <m/>
    <m/>
    <m/>
    <m/>
  </r>
  <r>
    <x v="3"/>
    <x v="0"/>
    <m/>
    <m/>
    <m/>
    <m/>
    <m/>
    <m/>
    <m/>
    <m/>
    <n v="0"/>
    <m/>
    <m/>
    <m/>
    <m/>
    <m/>
    <m/>
    <m/>
    <m/>
    <m/>
    <m/>
    <m/>
    <m/>
    <m/>
    <m/>
  </r>
  <r>
    <x v="3"/>
    <x v="1"/>
    <m/>
    <m/>
    <m/>
    <m/>
    <m/>
    <m/>
    <m/>
    <m/>
    <n v="1.8073315343675842"/>
    <m/>
    <m/>
    <m/>
    <m/>
    <m/>
    <m/>
    <m/>
    <m/>
    <m/>
    <m/>
    <m/>
    <m/>
    <m/>
    <m/>
  </r>
  <r>
    <x v="3"/>
    <x v="2"/>
    <m/>
    <m/>
    <m/>
    <m/>
    <m/>
    <m/>
    <m/>
    <m/>
    <n v="49.951613696629174"/>
    <m/>
    <m/>
    <m/>
    <m/>
    <m/>
    <m/>
    <m/>
    <m/>
    <m/>
    <m/>
    <m/>
    <m/>
    <m/>
    <m/>
  </r>
  <r>
    <x v="3"/>
    <x v="3"/>
    <m/>
    <m/>
    <m/>
    <m/>
    <m/>
    <m/>
    <m/>
    <m/>
    <n v="73.061764277422853"/>
    <m/>
    <m/>
    <m/>
    <m/>
    <m/>
    <m/>
    <m/>
    <m/>
    <m/>
    <m/>
    <m/>
    <m/>
    <m/>
    <m/>
  </r>
  <r>
    <x v="3"/>
    <x v="4"/>
    <m/>
    <m/>
    <m/>
    <m/>
    <m/>
    <m/>
    <m/>
    <m/>
    <n v="71.416378102851951"/>
    <m/>
    <m/>
    <m/>
    <m/>
    <m/>
    <m/>
    <m/>
    <m/>
    <m/>
    <m/>
    <m/>
    <m/>
    <m/>
    <m/>
  </r>
  <r>
    <x v="3"/>
    <x v="5"/>
    <m/>
    <m/>
    <m/>
    <m/>
    <m/>
    <m/>
    <m/>
    <m/>
    <n v="80.653829042394406"/>
    <m/>
    <m/>
    <m/>
    <m/>
    <m/>
    <m/>
    <m/>
    <m/>
    <m/>
    <m/>
    <m/>
    <m/>
    <m/>
    <m/>
  </r>
  <r>
    <x v="3"/>
    <x v="6"/>
    <m/>
    <m/>
    <m/>
    <m/>
    <m/>
    <m/>
    <m/>
    <m/>
    <n v="55.069213203197627"/>
    <m/>
    <m/>
    <m/>
    <m/>
    <m/>
    <m/>
    <m/>
    <m/>
    <m/>
    <m/>
    <m/>
    <m/>
    <m/>
    <m/>
  </r>
  <r>
    <x v="3"/>
    <x v="7"/>
    <m/>
    <m/>
    <m/>
    <m/>
    <m/>
    <m/>
    <m/>
    <m/>
    <n v="331.9601298568636"/>
    <m/>
    <m/>
    <m/>
    <m/>
    <m/>
    <m/>
    <m/>
    <m/>
    <m/>
    <m/>
    <m/>
    <m/>
    <m/>
    <m/>
  </r>
  <r>
    <x v="4"/>
    <x v="0"/>
    <m/>
    <m/>
    <m/>
    <m/>
    <m/>
    <m/>
    <m/>
    <m/>
    <n v="0"/>
    <m/>
    <m/>
    <m/>
    <m/>
    <m/>
    <m/>
    <m/>
    <m/>
    <m/>
    <m/>
    <m/>
    <m/>
    <m/>
    <m/>
  </r>
  <r>
    <x v="4"/>
    <x v="1"/>
    <m/>
    <m/>
    <m/>
    <m/>
    <m/>
    <m/>
    <m/>
    <m/>
    <n v="15.159883658420203"/>
    <m/>
    <m/>
    <m/>
    <m/>
    <m/>
    <m/>
    <m/>
    <m/>
    <m/>
    <m/>
    <m/>
    <m/>
    <m/>
    <m/>
  </r>
  <r>
    <x v="4"/>
    <x v="2"/>
    <m/>
    <m/>
    <m/>
    <m/>
    <m/>
    <m/>
    <m/>
    <m/>
    <n v="69.120038169970869"/>
    <m/>
    <m/>
    <m/>
    <m/>
    <m/>
    <m/>
    <m/>
    <m/>
    <m/>
    <m/>
    <m/>
    <m/>
    <m/>
    <m/>
  </r>
  <r>
    <x v="4"/>
    <x v="3"/>
    <m/>
    <m/>
    <m/>
    <m/>
    <m/>
    <m/>
    <m/>
    <m/>
    <n v="95.012298025321186"/>
    <m/>
    <m/>
    <m/>
    <m/>
    <m/>
    <m/>
    <m/>
    <m/>
    <m/>
    <m/>
    <m/>
    <m/>
    <m/>
    <m/>
  </r>
  <r>
    <x v="4"/>
    <x v="4"/>
    <m/>
    <m/>
    <m/>
    <m/>
    <m/>
    <m/>
    <m/>
    <m/>
    <n v="92.911034420814218"/>
    <m/>
    <m/>
    <m/>
    <m/>
    <m/>
    <m/>
    <m/>
    <m/>
    <m/>
    <m/>
    <m/>
    <m/>
    <m/>
    <m/>
  </r>
  <r>
    <x v="4"/>
    <x v="5"/>
    <m/>
    <m/>
    <m/>
    <m/>
    <m/>
    <m/>
    <m/>
    <m/>
    <n v="102.99573483264035"/>
    <m/>
    <m/>
    <m/>
    <m/>
    <m/>
    <m/>
    <m/>
    <m/>
    <m/>
    <m/>
    <m/>
    <m/>
    <m/>
    <m/>
  </r>
  <r>
    <x v="4"/>
    <x v="6"/>
    <m/>
    <m/>
    <m/>
    <m/>
    <m/>
    <m/>
    <m/>
    <m/>
    <n v="73.583363178868026"/>
    <m/>
    <m/>
    <m/>
    <m/>
    <m/>
    <m/>
    <m/>
    <m/>
    <m/>
    <m/>
    <m/>
    <m/>
    <m/>
    <m/>
  </r>
  <r>
    <x v="4"/>
    <x v="7"/>
    <m/>
    <m/>
    <m/>
    <m/>
    <m/>
    <m/>
    <m/>
    <m/>
    <n v="448.78235228603478"/>
    <m/>
    <m/>
    <m/>
    <m/>
    <m/>
    <m/>
    <m/>
    <m/>
    <m/>
    <m/>
    <m/>
    <m/>
    <m/>
    <m/>
  </r>
  <r>
    <x v="5"/>
    <x v="0"/>
    <m/>
    <m/>
    <m/>
    <m/>
    <m/>
    <m/>
    <m/>
    <m/>
    <n v="0"/>
    <m/>
    <m/>
    <m/>
    <m/>
    <m/>
    <m/>
    <m/>
    <m/>
    <m/>
    <m/>
    <m/>
    <m/>
    <m/>
    <m/>
  </r>
  <r>
    <x v="5"/>
    <x v="1"/>
    <m/>
    <m/>
    <m/>
    <m/>
    <m/>
    <m/>
    <m/>
    <m/>
    <n v="18.541942471485847"/>
    <m/>
    <m/>
    <m/>
    <m/>
    <m/>
    <m/>
    <m/>
    <m/>
    <m/>
    <m/>
    <m/>
    <m/>
    <m/>
    <m/>
  </r>
  <r>
    <x v="5"/>
    <x v="2"/>
    <m/>
    <m/>
    <m/>
    <m/>
    <m/>
    <m/>
    <m/>
    <m/>
    <n v="81.652762466917551"/>
    <m/>
    <m/>
    <m/>
    <m/>
    <m/>
    <m/>
    <m/>
    <m/>
    <m/>
    <m/>
    <m/>
    <m/>
    <m/>
    <m/>
  </r>
  <r>
    <x v="5"/>
    <x v="3"/>
    <m/>
    <m/>
    <m/>
    <m/>
    <m/>
    <m/>
    <m/>
    <m/>
    <n v="111.93528690668491"/>
    <m/>
    <m/>
    <m/>
    <m/>
    <m/>
    <m/>
    <m/>
    <m/>
    <m/>
    <m/>
    <m/>
    <m/>
    <m/>
    <m/>
  </r>
  <r>
    <x v="5"/>
    <x v="4"/>
    <m/>
    <m/>
    <m/>
    <m/>
    <m/>
    <m/>
    <m/>
    <m/>
    <n v="109.46180678702648"/>
    <m/>
    <m/>
    <m/>
    <m/>
    <m/>
    <m/>
    <m/>
    <m/>
    <m/>
    <m/>
    <m/>
    <m/>
    <m/>
    <m/>
  </r>
  <r>
    <x v="5"/>
    <x v="5"/>
    <m/>
    <m/>
    <m/>
    <m/>
    <m/>
    <m/>
    <m/>
    <m/>
    <n v="121.24009749851864"/>
    <m/>
    <m/>
    <m/>
    <m/>
    <m/>
    <m/>
    <m/>
    <m/>
    <m/>
    <m/>
    <m/>
    <m/>
    <m/>
    <m/>
  </r>
  <r>
    <x v="5"/>
    <x v="6"/>
    <m/>
    <m/>
    <m/>
    <m/>
    <m/>
    <m/>
    <m/>
    <m/>
    <n v="86.79439335298791"/>
    <m/>
    <m/>
    <m/>
    <m/>
    <m/>
    <m/>
    <m/>
    <m/>
    <m/>
    <m/>
    <m/>
    <m/>
    <m/>
    <m/>
  </r>
  <r>
    <x v="5"/>
    <x v="7"/>
    <m/>
    <m/>
    <m/>
    <m/>
    <m/>
    <m/>
    <m/>
    <m/>
    <n v="529.62628948362135"/>
    <m/>
    <m/>
    <m/>
    <m/>
    <m/>
    <m/>
    <m/>
    <m/>
    <m/>
    <m/>
    <m/>
    <m/>
    <m/>
    <m/>
  </r>
  <r>
    <x v="6"/>
    <x v="0"/>
    <m/>
    <m/>
    <m/>
    <m/>
    <m/>
    <m/>
    <m/>
    <m/>
    <n v="0"/>
    <m/>
    <m/>
    <m/>
    <m/>
    <m/>
    <m/>
    <m/>
    <m/>
    <m/>
    <m/>
    <m/>
    <m/>
    <m/>
    <m/>
  </r>
  <r>
    <x v="6"/>
    <x v="1"/>
    <m/>
    <m/>
    <m/>
    <m/>
    <m/>
    <m/>
    <m/>
    <m/>
    <n v="19.797281451216758"/>
    <m/>
    <m/>
    <m/>
    <m/>
    <m/>
    <m/>
    <m/>
    <m/>
    <m/>
    <m/>
    <m/>
    <m/>
    <m/>
    <m/>
  </r>
  <r>
    <x v="6"/>
    <x v="2"/>
    <m/>
    <m/>
    <m/>
    <m/>
    <m/>
    <m/>
    <m/>
    <m/>
    <n v="73.977955385727284"/>
    <m/>
    <m/>
    <m/>
    <m/>
    <m/>
    <m/>
    <m/>
    <m/>
    <m/>
    <m/>
    <m/>
    <m/>
    <m/>
    <m/>
  </r>
  <r>
    <x v="6"/>
    <x v="3"/>
    <m/>
    <m/>
    <m/>
    <m/>
    <m/>
    <m/>
    <m/>
    <m/>
    <n v="99.972678973453824"/>
    <m/>
    <m/>
    <m/>
    <m/>
    <m/>
    <m/>
    <m/>
    <m/>
    <m/>
    <m/>
    <m/>
    <m/>
    <m/>
    <m/>
  </r>
  <r>
    <x v="6"/>
    <x v="4"/>
    <m/>
    <m/>
    <m/>
    <m/>
    <m/>
    <m/>
    <m/>
    <m/>
    <n v="97.773260023298732"/>
    <m/>
    <m/>
    <m/>
    <m/>
    <m/>
    <m/>
    <m/>
    <m/>
    <m/>
    <m/>
    <m/>
    <m/>
    <m/>
    <m/>
  </r>
  <r>
    <x v="6"/>
    <x v="5"/>
    <m/>
    <m/>
    <m/>
    <m/>
    <m/>
    <m/>
    <m/>
    <m/>
    <n v="107.80558913183168"/>
    <m/>
    <m/>
    <m/>
    <m/>
    <m/>
    <m/>
    <m/>
    <m/>
    <m/>
    <m/>
    <m/>
    <m/>
    <m/>
    <m/>
  </r>
  <r>
    <x v="6"/>
    <x v="6"/>
    <m/>
    <m/>
    <m/>
    <m/>
    <m/>
    <m/>
    <m/>
    <m/>
    <n v="78.016237291660204"/>
    <m/>
    <m/>
    <m/>
    <m/>
    <m/>
    <m/>
    <m/>
    <m/>
    <m/>
    <m/>
    <m/>
    <m/>
    <m/>
    <m/>
  </r>
  <r>
    <x v="6"/>
    <x v="7"/>
    <m/>
    <m/>
    <m/>
    <m/>
    <m/>
    <m/>
    <m/>
    <m/>
    <n v="477.34300225718846"/>
    <m/>
    <m/>
    <m/>
    <m/>
    <m/>
    <m/>
    <m/>
    <m/>
    <m/>
    <m/>
    <m/>
    <m/>
    <m/>
    <m/>
  </r>
  <r>
    <x v="7"/>
    <x v="0"/>
    <m/>
    <m/>
    <m/>
    <m/>
    <m/>
    <m/>
    <m/>
    <m/>
    <n v="0"/>
    <m/>
    <m/>
    <m/>
    <m/>
    <m/>
    <m/>
    <m/>
    <m/>
    <m/>
    <m/>
    <m/>
    <m/>
    <m/>
    <m/>
  </r>
  <r>
    <x v="7"/>
    <x v="1"/>
    <m/>
    <m/>
    <m/>
    <m/>
    <m/>
    <m/>
    <m/>
    <m/>
    <n v="13.700412905265388"/>
    <m/>
    <m/>
    <m/>
    <m/>
    <m/>
    <m/>
    <m/>
    <m/>
    <m/>
    <m/>
    <m/>
    <m/>
    <m/>
    <m/>
  </r>
  <r>
    <x v="7"/>
    <x v="2"/>
    <m/>
    <m/>
    <m/>
    <m/>
    <m/>
    <m/>
    <m/>
    <m/>
    <n v="64.544249289137625"/>
    <m/>
    <m/>
    <m/>
    <m/>
    <m/>
    <m/>
    <m/>
    <m/>
    <m/>
    <m/>
    <m/>
    <m/>
    <m/>
    <m/>
  </r>
  <r>
    <x v="7"/>
    <x v="3"/>
    <m/>
    <m/>
    <m/>
    <m/>
    <m/>
    <m/>
    <m/>
    <m/>
    <n v="88.941601541217381"/>
    <m/>
    <m/>
    <m/>
    <m/>
    <m/>
    <m/>
    <m/>
    <m/>
    <m/>
    <m/>
    <m/>
    <m/>
    <m/>
    <m/>
  </r>
  <r>
    <x v="7"/>
    <x v="4"/>
    <m/>
    <m/>
    <m/>
    <m/>
    <m/>
    <m/>
    <m/>
    <m/>
    <n v="86.973121933708953"/>
    <m/>
    <m/>
    <m/>
    <m/>
    <m/>
    <m/>
    <m/>
    <m/>
    <m/>
    <m/>
    <m/>
    <m/>
    <m/>
    <m/>
  </r>
  <r>
    <x v="7"/>
    <x v="5"/>
    <m/>
    <m/>
    <m/>
    <m/>
    <m/>
    <m/>
    <m/>
    <m/>
    <n v="96.487352609906324"/>
    <m/>
    <m/>
    <m/>
    <m/>
    <m/>
    <m/>
    <m/>
    <m/>
    <m/>
    <m/>
    <m/>
    <m/>
    <m/>
    <m/>
  </r>
  <r>
    <x v="7"/>
    <x v="6"/>
    <m/>
    <m/>
    <m/>
    <m/>
    <m/>
    <m/>
    <m/>
    <m/>
    <n v="68.806382720776867"/>
    <m/>
    <m/>
    <m/>
    <m/>
    <m/>
    <m/>
    <m/>
    <m/>
    <m/>
    <m/>
    <m/>
    <m/>
    <m/>
    <m/>
  </r>
  <r>
    <x v="7"/>
    <x v="7"/>
    <m/>
    <m/>
    <m/>
    <m/>
    <m/>
    <m/>
    <m/>
    <m/>
    <n v="419.45312100001257"/>
    <m/>
    <m/>
    <m/>
    <m/>
    <m/>
    <m/>
    <m/>
    <m/>
    <m/>
    <m/>
    <m/>
    <m/>
    <m/>
    <m/>
  </r>
  <r>
    <x v="8"/>
    <x v="0"/>
    <m/>
    <m/>
    <m/>
    <m/>
    <m/>
    <m/>
    <m/>
    <m/>
    <n v="0"/>
    <m/>
    <m/>
    <m/>
    <m/>
    <m/>
    <m/>
    <m/>
    <m/>
    <m/>
    <m/>
    <m/>
    <m/>
    <m/>
    <m/>
  </r>
  <r>
    <x v="8"/>
    <x v="1"/>
    <m/>
    <m/>
    <m/>
    <m/>
    <m/>
    <m/>
    <m/>
    <m/>
    <n v="18.160825918879578"/>
    <m/>
    <m/>
    <m/>
    <m/>
    <m/>
    <m/>
    <m/>
    <m/>
    <m/>
    <m/>
    <m/>
    <m/>
    <m/>
    <m/>
  </r>
  <r>
    <x v="8"/>
    <x v="2"/>
    <m/>
    <m/>
    <m/>
    <m/>
    <m/>
    <m/>
    <m/>
    <m/>
    <n v="75.012310359517997"/>
    <m/>
    <m/>
    <m/>
    <m/>
    <m/>
    <m/>
    <m/>
    <m/>
    <m/>
    <m/>
    <m/>
    <m/>
    <m/>
    <m/>
  </r>
  <r>
    <x v="8"/>
    <x v="3"/>
    <m/>
    <m/>
    <m/>
    <m/>
    <m/>
    <m/>
    <m/>
    <m/>
    <n v="102.29034436648729"/>
    <m/>
    <m/>
    <m/>
    <m/>
    <m/>
    <m/>
    <m/>
    <m/>
    <m/>
    <m/>
    <m/>
    <m/>
    <m/>
    <m/>
  </r>
  <r>
    <x v="8"/>
    <x v="4"/>
    <m/>
    <m/>
    <m/>
    <m/>
    <m/>
    <m/>
    <m/>
    <m/>
    <n v="100.0336450782107"/>
    <m/>
    <m/>
    <m/>
    <m/>
    <m/>
    <m/>
    <m/>
    <m/>
    <m/>
    <m/>
    <m/>
    <m/>
    <m/>
    <m/>
  </r>
  <r>
    <x v="8"/>
    <x v="5"/>
    <m/>
    <m/>
    <m/>
    <m/>
    <m/>
    <m/>
    <m/>
    <m/>
    <n v="110.61394523089858"/>
    <m/>
    <m/>
    <m/>
    <m/>
    <m/>
    <m/>
    <m/>
    <m/>
    <m/>
    <m/>
    <m/>
    <m/>
    <m/>
    <m/>
  </r>
  <r>
    <x v="8"/>
    <x v="6"/>
    <m/>
    <m/>
    <m/>
    <m/>
    <m/>
    <m/>
    <m/>
    <m/>
    <n v="79.502750447723329"/>
    <m/>
    <m/>
    <m/>
    <m/>
    <m/>
    <m/>
    <m/>
    <m/>
    <m/>
    <m/>
    <m/>
    <m/>
    <m/>
    <m/>
  </r>
  <r>
    <x v="8"/>
    <x v="7"/>
    <m/>
    <m/>
    <m/>
    <m/>
    <m/>
    <m/>
    <m/>
    <m/>
    <n v="485.61382140171747"/>
    <m/>
    <m/>
    <m/>
    <m/>
    <m/>
    <m/>
    <m/>
    <m/>
    <m/>
    <m/>
    <m/>
    <m/>
    <m/>
    <m/>
  </r>
  <r>
    <x v="9"/>
    <x v="0"/>
    <m/>
    <m/>
    <m/>
    <m/>
    <m/>
    <m/>
    <m/>
    <m/>
    <n v="0"/>
    <m/>
    <m/>
    <m/>
    <m/>
    <m/>
    <m/>
    <m/>
    <m/>
    <m/>
    <m/>
    <m/>
    <m/>
    <m/>
    <m/>
  </r>
  <r>
    <x v="9"/>
    <x v="1"/>
    <m/>
    <m/>
    <m/>
    <m/>
    <m/>
    <m/>
    <m/>
    <m/>
    <n v="20.090149633783458"/>
    <m/>
    <m/>
    <m/>
    <m/>
    <m/>
    <m/>
    <m/>
    <m/>
    <m/>
    <m/>
    <m/>
    <m/>
    <m/>
    <m/>
  </r>
  <r>
    <x v="9"/>
    <x v="2"/>
    <m/>
    <m/>
    <m/>
    <m/>
    <m/>
    <m/>
    <m/>
    <m/>
    <n v="81.911482589749525"/>
    <m/>
    <m/>
    <m/>
    <m/>
    <m/>
    <m/>
    <m/>
    <m/>
    <m/>
    <m/>
    <m/>
    <m/>
    <m/>
    <m/>
  </r>
  <r>
    <x v="9"/>
    <x v="3"/>
    <m/>
    <m/>
    <m/>
    <m/>
    <m/>
    <m/>
    <m/>
    <m/>
    <n v="111.57386014816211"/>
    <m/>
    <m/>
    <m/>
    <m/>
    <m/>
    <m/>
    <m/>
    <m/>
    <m/>
    <m/>
    <m/>
    <m/>
    <m/>
    <m/>
  </r>
  <r>
    <x v="9"/>
    <x v="4"/>
    <m/>
    <m/>
    <m/>
    <m/>
    <m/>
    <m/>
    <m/>
    <m/>
    <n v="109.11319468389236"/>
    <m/>
    <m/>
    <m/>
    <m/>
    <m/>
    <m/>
    <m/>
    <m/>
    <m/>
    <m/>
    <m/>
    <m/>
    <m/>
    <m/>
  </r>
  <r>
    <x v="9"/>
    <x v="5"/>
    <m/>
    <m/>
    <m/>
    <m/>
    <m/>
    <m/>
    <m/>
    <m/>
    <n v="120.61141472091413"/>
    <m/>
    <m/>
    <m/>
    <m/>
    <m/>
    <m/>
    <m/>
    <m/>
    <m/>
    <m/>
    <m/>
    <m/>
    <m/>
    <m/>
  </r>
  <r>
    <x v="9"/>
    <x v="6"/>
    <m/>
    <m/>
    <m/>
    <m/>
    <m/>
    <m/>
    <m/>
    <m/>
    <n v="86.761359658902037"/>
    <m/>
    <m/>
    <m/>
    <m/>
    <m/>
    <m/>
    <m/>
    <m/>
    <m/>
    <m/>
    <m/>
    <m/>
    <m/>
    <m/>
  </r>
  <r>
    <x v="9"/>
    <x v="7"/>
    <m/>
    <m/>
    <m/>
    <m/>
    <m/>
    <m/>
    <m/>
    <m/>
    <n v="530.06146143540354"/>
    <m/>
    <m/>
    <m/>
    <m/>
    <m/>
    <m/>
    <m/>
    <m/>
    <m/>
    <m/>
    <m/>
    <m/>
    <m/>
    <m/>
  </r>
  <r>
    <x v="10"/>
    <x v="0"/>
    <m/>
    <m/>
    <m/>
    <m/>
    <m/>
    <m/>
    <m/>
    <m/>
    <n v="0"/>
    <m/>
    <m/>
    <m/>
    <m/>
    <m/>
    <m/>
    <m/>
    <m/>
    <m/>
    <m/>
    <m/>
    <m/>
    <m/>
    <m/>
  </r>
  <r>
    <x v="10"/>
    <x v="1"/>
    <m/>
    <m/>
    <m/>
    <m/>
    <m/>
    <m/>
    <m/>
    <m/>
    <n v="28.902315952316517"/>
    <m/>
    <m/>
    <m/>
    <m/>
    <m/>
    <m/>
    <m/>
    <m/>
    <m/>
    <m/>
    <m/>
    <m/>
    <m/>
    <m/>
  </r>
  <r>
    <x v="10"/>
    <x v="2"/>
    <m/>
    <m/>
    <m/>
    <m/>
    <m/>
    <m/>
    <m/>
    <m/>
    <n v="105.86717574662066"/>
    <m/>
    <m/>
    <m/>
    <m/>
    <m/>
    <m/>
    <m/>
    <m/>
    <m/>
    <m/>
    <m/>
    <m/>
    <m/>
    <m/>
  </r>
  <r>
    <x v="10"/>
    <x v="3"/>
    <m/>
    <m/>
    <m/>
    <m/>
    <m/>
    <m/>
    <m/>
    <m/>
    <n v="142.79269128327769"/>
    <m/>
    <m/>
    <m/>
    <m/>
    <m/>
    <m/>
    <m/>
    <m/>
    <m/>
    <m/>
    <m/>
    <m/>
    <m/>
    <m/>
  </r>
  <r>
    <x v="10"/>
    <x v="4"/>
    <m/>
    <m/>
    <m/>
    <m/>
    <m/>
    <m/>
    <m/>
    <m/>
    <n v="139.65310153803958"/>
    <m/>
    <m/>
    <m/>
    <m/>
    <m/>
    <m/>
    <m/>
    <m/>
    <m/>
    <m/>
    <m/>
    <m/>
    <m/>
    <m/>
  </r>
  <r>
    <x v="10"/>
    <x v="5"/>
    <m/>
    <m/>
    <m/>
    <m/>
    <m/>
    <m/>
    <m/>
    <m/>
    <n v="153.88829907705355"/>
    <m/>
    <m/>
    <m/>
    <m/>
    <m/>
    <m/>
    <m/>
    <m/>
    <m/>
    <m/>
    <m/>
    <m/>
    <m/>
    <m/>
  </r>
  <r>
    <x v="10"/>
    <x v="6"/>
    <m/>
    <m/>
    <m/>
    <m/>
    <m/>
    <m/>
    <m/>
    <m/>
    <n v="111.52809272806716"/>
    <m/>
    <m/>
    <m/>
    <m/>
    <m/>
    <m/>
    <m/>
    <m/>
    <m/>
    <m/>
    <m/>
    <m/>
    <m/>
    <m/>
  </r>
  <r>
    <x v="10"/>
    <x v="7"/>
    <m/>
    <m/>
    <m/>
    <m/>
    <m/>
    <m/>
    <m/>
    <m/>
    <n v="682.63167632537511"/>
    <m/>
    <m/>
    <m/>
    <m/>
    <m/>
    <m/>
    <m/>
    <m/>
    <m/>
    <m/>
    <m/>
    <m/>
    <m/>
    <m/>
  </r>
  <r>
    <x v="11"/>
    <x v="0"/>
    <m/>
    <m/>
    <m/>
    <m/>
    <m/>
    <m/>
    <m/>
    <m/>
    <n v="0"/>
    <m/>
    <m/>
    <m/>
    <m/>
    <m/>
    <m/>
    <m/>
    <m/>
    <m/>
    <m/>
    <m/>
    <m/>
    <m/>
    <m/>
  </r>
  <r>
    <x v="11"/>
    <x v="1"/>
    <m/>
    <m/>
    <m/>
    <m/>
    <m/>
    <m/>
    <m/>
    <m/>
    <n v="0"/>
    <m/>
    <m/>
    <m/>
    <m/>
    <m/>
    <m/>
    <m/>
    <m/>
    <m/>
    <m/>
    <m/>
    <m/>
    <m/>
    <m/>
  </r>
  <r>
    <x v="11"/>
    <x v="2"/>
    <m/>
    <m/>
    <m/>
    <m/>
    <m/>
    <m/>
    <m/>
    <m/>
    <n v="41.275630329803221"/>
    <m/>
    <m/>
    <m/>
    <m/>
    <m/>
    <m/>
    <m/>
    <m/>
    <m/>
    <m/>
    <m/>
    <m/>
    <m/>
    <m/>
  </r>
  <r>
    <x v="11"/>
    <x v="3"/>
    <m/>
    <m/>
    <m/>
    <m/>
    <m/>
    <m/>
    <m/>
    <m/>
    <n v="61.813847417924961"/>
    <m/>
    <m/>
    <m/>
    <m/>
    <m/>
    <m/>
    <m/>
    <m/>
    <m/>
    <m/>
    <m/>
    <m/>
    <m/>
    <m/>
  </r>
  <r>
    <x v="11"/>
    <x v="4"/>
    <m/>
    <m/>
    <m/>
    <m/>
    <m/>
    <m/>
    <m/>
    <m/>
    <n v="60.412657504797295"/>
    <m/>
    <m/>
    <m/>
    <m/>
    <m/>
    <m/>
    <m/>
    <m/>
    <m/>
    <m/>
    <m/>
    <m/>
    <m/>
    <m/>
  </r>
  <r>
    <x v="11"/>
    <x v="5"/>
    <m/>
    <m/>
    <m/>
    <m/>
    <m/>
    <m/>
    <m/>
    <m/>
    <n v="68.684810142166853"/>
    <m/>
    <m/>
    <m/>
    <m/>
    <m/>
    <m/>
    <m/>
    <m/>
    <m/>
    <m/>
    <m/>
    <m/>
    <m/>
    <m/>
  </r>
  <r>
    <x v="11"/>
    <x v="6"/>
    <m/>
    <m/>
    <m/>
    <m/>
    <m/>
    <m/>
    <m/>
    <m/>
    <n v="46.12468033117414"/>
    <m/>
    <m/>
    <m/>
    <m/>
    <m/>
    <m/>
    <m/>
    <m/>
    <m/>
    <m/>
    <m/>
    <m/>
    <m/>
    <m/>
  </r>
  <r>
    <x v="11"/>
    <x v="7"/>
    <m/>
    <m/>
    <m/>
    <m/>
    <m/>
    <m/>
    <m/>
    <m/>
    <n v="278.31162572586646"/>
    <m/>
    <m/>
    <m/>
    <m/>
    <m/>
    <m/>
    <m/>
    <m/>
    <m/>
    <m/>
    <m/>
    <m/>
    <m/>
    <m/>
  </r>
  <r>
    <x v="12"/>
    <x v="0"/>
    <m/>
    <m/>
    <m/>
    <m/>
    <m/>
    <m/>
    <m/>
    <m/>
    <n v="0"/>
    <m/>
    <m/>
    <m/>
    <m/>
    <m/>
    <m/>
    <m/>
    <m/>
    <m/>
    <m/>
    <m/>
    <m/>
    <m/>
    <m/>
  </r>
  <r>
    <x v="12"/>
    <x v="1"/>
    <m/>
    <m/>
    <m/>
    <m/>
    <m/>
    <m/>
    <m/>
    <m/>
    <n v="5.5267918978352633"/>
    <m/>
    <m/>
    <m/>
    <m/>
    <m/>
    <m/>
    <m/>
    <m/>
    <m/>
    <m/>
    <m/>
    <m/>
    <m/>
    <m/>
  </r>
  <r>
    <x v="12"/>
    <x v="2"/>
    <m/>
    <m/>
    <m/>
    <m/>
    <m/>
    <m/>
    <m/>
    <m/>
    <n v="58.057005749122901"/>
    <m/>
    <m/>
    <m/>
    <m/>
    <m/>
    <m/>
    <m/>
    <m/>
    <m/>
    <m/>
    <m/>
    <m/>
    <m/>
    <m/>
  </r>
  <r>
    <x v="12"/>
    <x v="3"/>
    <m/>
    <m/>
    <m/>
    <m/>
    <m/>
    <m/>
    <m/>
    <m/>
    <n v="83.269882062364502"/>
    <m/>
    <m/>
    <m/>
    <m/>
    <m/>
    <m/>
    <m/>
    <m/>
    <m/>
    <m/>
    <m/>
    <m/>
    <m/>
    <m/>
  </r>
  <r>
    <x v="12"/>
    <x v="4"/>
    <m/>
    <m/>
    <m/>
    <m/>
    <m/>
    <m/>
    <m/>
    <m/>
    <n v="81.405013230186981"/>
    <m/>
    <m/>
    <m/>
    <m/>
    <m/>
    <m/>
    <m/>
    <m/>
    <m/>
    <m/>
    <m/>
    <m/>
    <m/>
    <m/>
  </r>
  <r>
    <x v="12"/>
    <x v="5"/>
    <m/>
    <m/>
    <m/>
    <m/>
    <m/>
    <m/>
    <m/>
    <m/>
    <n v="91.411284661706105"/>
    <m/>
    <m/>
    <m/>
    <m/>
    <m/>
    <m/>
    <m/>
    <m/>
    <m/>
    <m/>
    <m/>
    <m/>
    <m/>
    <m/>
  </r>
  <r>
    <x v="12"/>
    <x v="6"/>
    <m/>
    <m/>
    <m/>
    <m/>
    <m/>
    <m/>
    <m/>
    <m/>
    <n v="63.296415771919094"/>
    <m/>
    <m/>
    <m/>
    <m/>
    <m/>
    <m/>
    <m/>
    <m/>
    <m/>
    <m/>
    <m/>
    <m/>
    <m/>
    <m/>
  </r>
  <r>
    <x v="12"/>
    <x v="7"/>
    <m/>
    <m/>
    <m/>
    <m/>
    <m/>
    <m/>
    <m/>
    <m/>
    <n v="382.96639337313479"/>
    <m/>
    <m/>
    <m/>
    <m/>
    <m/>
    <m/>
    <m/>
    <m/>
    <m/>
    <m/>
    <m/>
    <m/>
    <m/>
    <m/>
  </r>
  <r>
    <x v="13"/>
    <x v="0"/>
    <m/>
    <m/>
    <m/>
    <m/>
    <m/>
    <m/>
    <m/>
    <m/>
    <n v="0"/>
    <m/>
    <m/>
    <m/>
    <m/>
    <m/>
    <m/>
    <m/>
    <m/>
    <m/>
    <m/>
    <m/>
    <m/>
    <m/>
    <m/>
  </r>
  <r>
    <x v="13"/>
    <x v="1"/>
    <m/>
    <m/>
    <m/>
    <m/>
    <m/>
    <m/>
    <m/>
    <m/>
    <n v="25.847518859665669"/>
    <m/>
    <m/>
    <m/>
    <m/>
    <m/>
    <m/>
    <m/>
    <m/>
    <m/>
    <m/>
    <m/>
    <m/>
    <m/>
    <m/>
  </r>
  <r>
    <x v="13"/>
    <x v="2"/>
    <m/>
    <m/>
    <m/>
    <m/>
    <m/>
    <m/>
    <m/>
    <m/>
    <n v="103.66590493964281"/>
    <m/>
    <m/>
    <m/>
    <m/>
    <m/>
    <m/>
    <m/>
    <m/>
    <m/>
    <m/>
    <m/>
    <m/>
    <m/>
    <m/>
  </r>
  <r>
    <x v="13"/>
    <x v="3"/>
    <m/>
    <m/>
    <m/>
    <m/>
    <m/>
    <m/>
    <m/>
    <m/>
    <n v="141.00338931236709"/>
    <m/>
    <m/>
    <m/>
    <m/>
    <m/>
    <m/>
    <m/>
    <m/>
    <m/>
    <m/>
    <m/>
    <m/>
    <m/>
    <m/>
  </r>
  <r>
    <x v="13"/>
    <x v="4"/>
    <m/>
    <m/>
    <m/>
    <m/>
    <m/>
    <m/>
    <m/>
    <m/>
    <n v="137.89505673830041"/>
    <m/>
    <m/>
    <m/>
    <m/>
    <m/>
    <m/>
    <m/>
    <m/>
    <m/>
    <m/>
    <m/>
    <m/>
    <m/>
    <m/>
  </r>
  <r>
    <x v="13"/>
    <x v="5"/>
    <m/>
    <m/>
    <m/>
    <m/>
    <m/>
    <m/>
    <m/>
    <m/>
    <n v="152.35715761702681"/>
    <m/>
    <m/>
    <m/>
    <m/>
    <m/>
    <m/>
    <m/>
    <m/>
    <m/>
    <m/>
    <m/>
    <m/>
    <m/>
    <m/>
  </r>
  <r>
    <x v="13"/>
    <x v="6"/>
    <m/>
    <m/>
    <m/>
    <m/>
    <m/>
    <m/>
    <m/>
    <m/>
    <n v="109.71661195481934"/>
    <m/>
    <m/>
    <m/>
    <m/>
    <m/>
    <m/>
    <m/>
    <m/>
    <m/>
    <m/>
    <m/>
    <m/>
    <m/>
    <m/>
  </r>
  <r>
    <x v="13"/>
    <x v="7"/>
    <m/>
    <m/>
    <m/>
    <m/>
    <m/>
    <m/>
    <m/>
    <m/>
    <n v="670.48563942182216"/>
    <m/>
    <m/>
    <m/>
    <m/>
    <m/>
    <m/>
    <m/>
    <m/>
    <m/>
    <m/>
    <m/>
    <m/>
    <m/>
    <m/>
  </r>
  <r>
    <x v="14"/>
    <x v="0"/>
    <m/>
    <m/>
    <m/>
    <m/>
    <m/>
    <m/>
    <m/>
    <m/>
    <n v="0"/>
    <m/>
    <m/>
    <m/>
    <m/>
    <m/>
    <m/>
    <m/>
    <m/>
    <m/>
    <m/>
    <m/>
    <m/>
    <m/>
    <m/>
  </r>
  <r>
    <x v="14"/>
    <x v="1"/>
    <m/>
    <m/>
    <m/>
    <m/>
    <m/>
    <m/>
    <m/>
    <m/>
    <n v="18.864143280895217"/>
    <m/>
    <m/>
    <m/>
    <m/>
    <m/>
    <m/>
    <m/>
    <m/>
    <m/>
    <m/>
    <m/>
    <m/>
    <m/>
    <m/>
  </r>
  <r>
    <x v="14"/>
    <x v="2"/>
    <m/>
    <m/>
    <m/>
    <m/>
    <m/>
    <m/>
    <m/>
    <m/>
    <n v="79.519314879789022"/>
    <m/>
    <m/>
    <m/>
    <m/>
    <m/>
    <m/>
    <m/>
    <m/>
    <m/>
    <m/>
    <m/>
    <m/>
    <m/>
    <m/>
  </r>
  <r>
    <x v="14"/>
    <x v="3"/>
    <m/>
    <m/>
    <m/>
    <m/>
    <m/>
    <m/>
    <m/>
    <m/>
    <n v="108.62277899606944"/>
    <m/>
    <m/>
    <m/>
    <m/>
    <m/>
    <m/>
    <m/>
    <m/>
    <m/>
    <m/>
    <m/>
    <m/>
    <m/>
    <m/>
  </r>
  <r>
    <x v="14"/>
    <x v="4"/>
    <m/>
    <m/>
    <m/>
    <m/>
    <m/>
    <m/>
    <m/>
    <m/>
    <n v="106.22511154187487"/>
    <m/>
    <m/>
    <m/>
    <m/>
    <m/>
    <m/>
    <m/>
    <m/>
    <m/>
    <m/>
    <m/>
    <m/>
    <m/>
    <m/>
  </r>
  <r>
    <x v="14"/>
    <x v="5"/>
    <m/>
    <m/>
    <m/>
    <m/>
    <m/>
    <m/>
    <m/>
    <m/>
    <n v="117.52376091297512"/>
    <m/>
    <m/>
    <m/>
    <m/>
    <m/>
    <m/>
    <m/>
    <m/>
    <m/>
    <m/>
    <m/>
    <m/>
    <m/>
    <m/>
  </r>
  <r>
    <x v="14"/>
    <x v="6"/>
    <m/>
    <m/>
    <m/>
    <m/>
    <m/>
    <m/>
    <m/>
    <m/>
    <n v="84.359770380925852"/>
    <m/>
    <m/>
    <m/>
    <m/>
    <m/>
    <m/>
    <m/>
    <m/>
    <m/>
    <m/>
    <m/>
    <m/>
    <m/>
    <m/>
  </r>
  <r>
    <x v="14"/>
    <x v="7"/>
    <m/>
    <m/>
    <m/>
    <m/>
    <m/>
    <m/>
    <m/>
    <m/>
    <n v="515.1148799925295"/>
    <m/>
    <m/>
    <m/>
    <m/>
    <m/>
    <m/>
    <m/>
    <m/>
    <m/>
    <m/>
    <m/>
    <m/>
    <m/>
    <m/>
  </r>
  <r>
    <x v="15"/>
    <x v="0"/>
    <m/>
    <m/>
    <m/>
    <m/>
    <m/>
    <m/>
    <m/>
    <m/>
    <n v="0"/>
    <m/>
    <m/>
    <m/>
    <m/>
    <m/>
    <m/>
    <m/>
    <m/>
    <m/>
    <m/>
    <m/>
    <m/>
    <m/>
    <m/>
  </r>
  <r>
    <x v="15"/>
    <x v="1"/>
    <m/>
    <m/>
    <m/>
    <m/>
    <m/>
    <m/>
    <m/>
    <m/>
    <n v="5.9227592508794338"/>
    <m/>
    <m/>
    <m/>
    <m/>
    <m/>
    <m/>
    <m/>
    <m/>
    <m/>
    <m/>
    <m/>
    <m/>
    <m/>
    <m/>
  </r>
  <r>
    <x v="15"/>
    <x v="2"/>
    <m/>
    <m/>
    <m/>
    <m/>
    <m/>
    <m/>
    <m/>
    <m/>
    <n v="53.008251352568571"/>
    <m/>
    <m/>
    <m/>
    <m/>
    <m/>
    <m/>
    <m/>
    <m/>
    <m/>
    <m/>
    <m/>
    <m/>
    <m/>
    <m/>
  </r>
  <r>
    <x v="15"/>
    <x v="3"/>
    <m/>
    <m/>
    <m/>
    <m/>
    <m/>
    <m/>
    <m/>
    <m/>
    <n v="75.607120375553976"/>
    <m/>
    <m/>
    <m/>
    <m/>
    <m/>
    <m/>
    <m/>
    <m/>
    <m/>
    <m/>
    <m/>
    <m/>
    <m/>
    <m/>
  </r>
  <r>
    <x v="15"/>
    <x v="4"/>
    <m/>
    <m/>
    <m/>
    <m/>
    <m/>
    <m/>
    <m/>
    <m/>
    <n v="73.916578590923365"/>
    <m/>
    <m/>
    <m/>
    <m/>
    <m/>
    <m/>
    <m/>
    <m/>
    <m/>
    <m/>
    <m/>
    <m/>
    <m/>
    <m/>
  </r>
  <r>
    <x v="15"/>
    <x v="5"/>
    <m/>
    <m/>
    <m/>
    <m/>
    <m/>
    <m/>
    <m/>
    <m/>
    <n v="82.865890821282022"/>
    <m/>
    <m/>
    <m/>
    <m/>
    <m/>
    <m/>
    <m/>
    <m/>
    <m/>
    <m/>
    <m/>
    <m/>
    <m/>
    <m/>
  </r>
  <r>
    <x v="15"/>
    <x v="6"/>
    <m/>
    <m/>
    <m/>
    <m/>
    <m/>
    <m/>
    <m/>
    <m/>
    <n v="57.610738094813179"/>
    <m/>
    <m/>
    <m/>
    <m/>
    <m/>
    <m/>
    <m/>
    <m/>
    <m/>
    <m/>
    <m/>
    <m/>
    <m/>
    <m/>
  </r>
  <r>
    <x v="15"/>
    <x v="7"/>
    <m/>
    <m/>
    <m/>
    <m/>
    <m/>
    <m/>
    <m/>
    <m/>
    <n v="348.93133848602054"/>
    <m/>
    <m/>
    <m/>
    <m/>
    <m/>
    <m/>
    <m/>
    <m/>
    <m/>
    <m/>
    <m/>
    <m/>
    <m/>
    <m/>
  </r>
  <r>
    <x v="16"/>
    <x v="0"/>
    <m/>
    <m/>
    <m/>
    <m/>
    <m/>
    <m/>
    <m/>
    <m/>
    <n v="0"/>
    <m/>
    <m/>
    <m/>
    <m/>
    <m/>
    <m/>
    <m/>
    <m/>
    <m/>
    <m/>
    <m/>
    <m/>
    <m/>
    <m/>
  </r>
  <r>
    <x v="16"/>
    <x v="1"/>
    <m/>
    <m/>
    <m/>
    <m/>
    <m/>
    <m/>
    <m/>
    <m/>
    <n v="8.562499915003313"/>
    <m/>
    <m/>
    <m/>
    <m/>
    <m/>
    <m/>
    <m/>
    <m/>
    <m/>
    <m/>
    <m/>
    <m/>
    <m/>
    <m/>
  </r>
  <r>
    <x v="16"/>
    <x v="2"/>
    <m/>
    <m/>
    <m/>
    <m/>
    <m/>
    <m/>
    <m/>
    <m/>
    <n v="59.691886922236286"/>
    <m/>
    <m/>
    <m/>
    <m/>
    <m/>
    <m/>
    <m/>
    <m/>
    <m/>
    <m/>
    <m/>
    <m/>
    <m/>
    <m/>
  </r>
  <r>
    <x v="16"/>
    <x v="3"/>
    <m/>
    <m/>
    <m/>
    <m/>
    <m/>
    <m/>
    <m/>
    <m/>
    <n v="84.230078888918868"/>
    <m/>
    <m/>
    <m/>
    <m/>
    <m/>
    <m/>
    <m/>
    <m/>
    <m/>
    <m/>
    <m/>
    <m/>
    <m/>
    <m/>
  </r>
  <r>
    <x v="16"/>
    <x v="4"/>
    <m/>
    <m/>
    <m/>
    <m/>
    <m/>
    <m/>
    <m/>
    <m/>
    <n v="82.352628998327191"/>
    <m/>
    <m/>
    <m/>
    <m/>
    <m/>
    <m/>
    <m/>
    <m/>
    <m/>
    <m/>
    <m/>
    <m/>
    <m/>
    <m/>
  </r>
  <r>
    <x v="16"/>
    <x v="5"/>
    <m/>
    <m/>
    <m/>
    <m/>
    <m/>
    <m/>
    <m/>
    <m/>
    <n v="92.026956655085158"/>
    <m/>
    <m/>
    <m/>
    <m/>
    <m/>
    <m/>
    <m/>
    <m/>
    <m/>
    <m/>
    <m/>
    <m/>
    <m/>
    <m/>
  </r>
  <r>
    <x v="16"/>
    <x v="6"/>
    <m/>
    <m/>
    <m/>
    <m/>
    <m/>
    <m/>
    <m/>
    <m/>
    <n v="64.483189313686182"/>
    <m/>
    <m/>
    <m/>
    <m/>
    <m/>
    <m/>
    <m/>
    <m/>
    <m/>
    <m/>
    <m/>
    <m/>
    <m/>
    <m/>
  </r>
  <r>
    <x v="16"/>
    <x v="7"/>
    <m/>
    <m/>
    <m/>
    <m/>
    <m/>
    <m/>
    <m/>
    <m/>
    <n v="391.34724069325699"/>
    <m/>
    <m/>
    <m/>
    <m/>
    <m/>
    <m/>
    <m/>
    <m/>
    <m/>
    <m/>
    <m/>
    <m/>
    <m/>
    <m/>
  </r>
  <r>
    <x v="17"/>
    <x v="0"/>
    <m/>
    <m/>
    <m/>
    <m/>
    <m/>
    <m/>
    <m/>
    <m/>
    <n v="0"/>
    <m/>
    <m/>
    <m/>
    <m/>
    <m/>
    <m/>
    <m/>
    <m/>
    <m/>
    <m/>
    <m/>
    <m/>
    <m/>
    <m/>
  </r>
  <r>
    <x v="17"/>
    <x v="1"/>
    <m/>
    <m/>
    <m/>
    <m/>
    <m/>
    <m/>
    <m/>
    <m/>
    <n v="90.831365258840705"/>
    <m/>
    <m/>
    <m/>
    <m/>
    <m/>
    <m/>
    <m/>
    <m/>
    <m/>
    <m/>
    <m/>
    <m/>
    <m/>
    <m/>
  </r>
  <r>
    <x v="17"/>
    <x v="2"/>
    <m/>
    <m/>
    <m/>
    <m/>
    <m/>
    <m/>
    <m/>
    <m/>
    <n v="319.02071466794263"/>
    <m/>
    <m/>
    <m/>
    <m/>
    <m/>
    <m/>
    <m/>
    <m/>
    <m/>
    <m/>
    <m/>
    <m/>
    <m/>
    <m/>
  </r>
  <r>
    <x v="17"/>
    <x v="3"/>
    <m/>
    <m/>
    <m/>
    <m/>
    <m/>
    <m/>
    <m/>
    <m/>
    <n v="428.49560610833481"/>
    <m/>
    <m/>
    <m/>
    <m/>
    <m/>
    <m/>
    <m/>
    <m/>
    <m/>
    <m/>
    <m/>
    <m/>
    <m/>
    <m/>
  </r>
  <r>
    <x v="17"/>
    <x v="4"/>
    <m/>
    <m/>
    <m/>
    <m/>
    <m/>
    <m/>
    <m/>
    <m/>
    <n v="419.08656433148275"/>
    <m/>
    <m/>
    <m/>
    <m/>
    <m/>
    <m/>
    <m/>
    <m/>
    <m/>
    <m/>
    <m/>
    <m/>
    <m/>
    <m/>
  </r>
  <r>
    <x v="17"/>
    <x v="5"/>
    <m/>
    <m/>
    <m/>
    <m/>
    <m/>
    <m/>
    <m/>
    <m/>
    <n v="461.18666750134224"/>
    <m/>
    <m/>
    <m/>
    <m/>
    <m/>
    <m/>
    <m/>
    <m/>
    <m/>
    <m/>
    <m/>
    <m/>
    <m/>
    <m/>
  </r>
  <r>
    <x v="17"/>
    <x v="6"/>
    <m/>
    <m/>
    <m/>
    <m/>
    <m/>
    <m/>
    <m/>
    <m/>
    <n v="335.30648196945964"/>
    <m/>
    <m/>
    <m/>
    <m/>
    <m/>
    <m/>
    <m/>
    <m/>
    <m/>
    <m/>
    <m/>
    <m/>
    <m/>
    <m/>
  </r>
  <r>
    <x v="17"/>
    <x v="7"/>
    <m/>
    <m/>
    <m/>
    <m/>
    <m/>
    <m/>
    <m/>
    <m/>
    <n v="2053.9273998374028"/>
    <m/>
    <m/>
    <m/>
    <m/>
    <m/>
    <m/>
    <m/>
    <m/>
    <m/>
    <m/>
    <m/>
    <m/>
    <m/>
    <m/>
  </r>
  <r>
    <x v="18"/>
    <x v="0"/>
    <m/>
    <m/>
    <m/>
    <m/>
    <m/>
    <m/>
    <m/>
    <m/>
    <n v="0"/>
    <m/>
    <m/>
    <m/>
    <m/>
    <m/>
    <m/>
    <m/>
    <m/>
    <m/>
    <m/>
    <m/>
    <m/>
    <m/>
    <m/>
  </r>
  <r>
    <x v="18"/>
    <x v="1"/>
    <m/>
    <m/>
    <m/>
    <m/>
    <m/>
    <m/>
    <m/>
    <m/>
    <n v="6.5754312778372128"/>
    <m/>
    <m/>
    <m/>
    <m/>
    <m/>
    <m/>
    <m/>
    <m/>
    <m/>
    <m/>
    <m/>
    <m/>
    <m/>
    <m/>
  </r>
  <r>
    <x v="18"/>
    <x v="2"/>
    <m/>
    <m/>
    <m/>
    <m/>
    <m/>
    <m/>
    <m/>
    <m/>
    <n v="32.995685275779742"/>
    <m/>
    <m/>
    <m/>
    <m/>
    <m/>
    <m/>
    <m/>
    <m/>
    <m/>
    <m/>
    <m/>
    <m/>
    <m/>
    <m/>
  </r>
  <r>
    <x v="18"/>
    <x v="3"/>
    <m/>
    <m/>
    <m/>
    <m/>
    <m/>
    <m/>
    <m/>
    <m/>
    <n v="45.673809798862891"/>
    <m/>
    <m/>
    <m/>
    <m/>
    <m/>
    <m/>
    <m/>
    <m/>
    <m/>
    <m/>
    <m/>
    <m/>
    <m/>
    <m/>
  </r>
  <r>
    <x v="18"/>
    <x v="4"/>
    <m/>
    <m/>
    <m/>
    <m/>
    <m/>
    <m/>
    <m/>
    <m/>
    <n v="44.661563324334374"/>
    <m/>
    <m/>
    <m/>
    <m/>
    <m/>
    <m/>
    <m/>
    <m/>
    <m/>
    <m/>
    <m/>
    <m/>
    <m/>
    <m/>
  </r>
  <r>
    <x v="18"/>
    <x v="5"/>
    <m/>
    <m/>
    <m/>
    <m/>
    <m/>
    <m/>
    <m/>
    <m/>
    <n v="49.616616215514256"/>
    <m/>
    <m/>
    <m/>
    <m/>
    <m/>
    <m/>
    <m/>
    <m/>
    <m/>
    <m/>
    <m/>
    <m/>
    <m/>
    <m/>
  </r>
  <r>
    <x v="18"/>
    <x v="6"/>
    <m/>
    <m/>
    <m/>
    <m/>
    <m/>
    <m/>
    <m/>
    <m/>
    <n v="35.263124248675773"/>
    <m/>
    <m/>
    <m/>
    <m/>
    <m/>
    <m/>
    <m/>
    <m/>
    <m/>
    <m/>
    <m/>
    <m/>
    <m/>
    <m/>
  </r>
  <r>
    <x v="18"/>
    <x v="7"/>
    <m/>
    <m/>
    <m/>
    <m/>
    <m/>
    <m/>
    <m/>
    <m/>
    <n v="214.78623014100424"/>
    <m/>
    <m/>
    <m/>
    <m/>
    <m/>
    <m/>
    <m/>
    <m/>
    <m/>
    <m/>
    <m/>
    <m/>
    <m/>
    <m/>
  </r>
  <r>
    <x v="19"/>
    <x v="0"/>
    <m/>
    <m/>
    <m/>
    <m/>
    <m/>
    <m/>
    <m/>
    <m/>
    <n v="0"/>
    <m/>
    <m/>
    <m/>
    <m/>
    <m/>
    <m/>
    <m/>
    <m/>
    <m/>
    <m/>
    <m/>
    <m/>
    <m/>
    <m/>
  </r>
  <r>
    <x v="19"/>
    <x v="1"/>
    <m/>
    <m/>
    <m/>
    <m/>
    <m/>
    <m/>
    <m/>
    <m/>
    <n v="24.31745408631534"/>
    <m/>
    <m/>
    <m/>
    <m/>
    <m/>
    <m/>
    <m/>
    <m/>
    <m/>
    <m/>
    <m/>
    <m/>
    <m/>
    <m/>
  </r>
  <r>
    <x v="19"/>
    <x v="2"/>
    <m/>
    <m/>
    <m/>
    <m/>
    <m/>
    <m/>
    <m/>
    <m/>
    <n v="87.273816764633025"/>
    <m/>
    <m/>
    <m/>
    <m/>
    <m/>
    <m/>
    <m/>
    <m/>
    <m/>
    <m/>
    <m/>
    <m/>
    <m/>
    <m/>
  </r>
  <r>
    <x v="19"/>
    <x v="3"/>
    <m/>
    <m/>
    <m/>
    <m/>
    <m/>
    <m/>
    <m/>
    <m/>
    <n v="117.47796543372382"/>
    <m/>
    <m/>
    <m/>
    <m/>
    <m/>
    <m/>
    <m/>
    <m/>
    <m/>
    <m/>
    <m/>
    <m/>
    <m/>
    <m/>
  </r>
  <r>
    <x v="19"/>
    <x v="4"/>
    <m/>
    <m/>
    <m/>
    <m/>
    <m/>
    <m/>
    <m/>
    <m/>
    <n v="114.89659014976905"/>
    <m/>
    <m/>
    <m/>
    <m/>
    <m/>
    <m/>
    <m/>
    <m/>
    <m/>
    <m/>
    <m/>
    <m/>
    <m/>
    <m/>
  </r>
  <r>
    <x v="19"/>
    <x v="5"/>
    <m/>
    <m/>
    <m/>
    <m/>
    <m/>
    <m/>
    <m/>
    <m/>
    <n v="126.52699621061396"/>
    <m/>
    <m/>
    <m/>
    <m/>
    <m/>
    <m/>
    <m/>
    <m/>
    <m/>
    <m/>
    <m/>
    <m/>
    <m/>
    <m/>
  </r>
  <r>
    <x v="19"/>
    <x v="6"/>
    <m/>
    <m/>
    <m/>
    <m/>
    <m/>
    <m/>
    <m/>
    <m/>
    <n v="91.838917754580322"/>
    <m/>
    <m/>
    <m/>
    <m/>
    <m/>
    <m/>
    <m/>
    <m/>
    <m/>
    <m/>
    <m/>
    <m/>
    <m/>
    <m/>
  </r>
  <r>
    <x v="19"/>
    <x v="7"/>
    <m/>
    <m/>
    <m/>
    <m/>
    <m/>
    <m/>
    <m/>
    <m/>
    <n v="562.33174039963546"/>
    <m/>
    <m/>
    <m/>
    <m/>
    <m/>
    <m/>
    <m/>
    <m/>
    <m/>
    <m/>
    <m/>
    <m/>
    <m/>
    <m/>
  </r>
  <r>
    <x v="20"/>
    <x v="0"/>
    <m/>
    <m/>
    <m/>
    <m/>
    <m/>
    <m/>
    <m/>
    <m/>
    <n v="0"/>
    <m/>
    <m/>
    <m/>
    <m/>
    <m/>
    <m/>
    <m/>
    <m/>
    <m/>
    <m/>
    <m/>
    <m/>
    <m/>
    <m/>
  </r>
  <r>
    <x v="20"/>
    <x v="1"/>
    <m/>
    <m/>
    <m/>
    <m/>
    <m/>
    <m/>
    <m/>
    <m/>
    <n v="7.8255127746122968"/>
    <m/>
    <m/>
    <m/>
    <m/>
    <m/>
    <m/>
    <m/>
    <m/>
    <m/>
    <m/>
    <m/>
    <m/>
    <m/>
    <m/>
  </r>
  <r>
    <x v="20"/>
    <x v="2"/>
    <m/>
    <m/>
    <m/>
    <m/>
    <m/>
    <m/>
    <m/>
    <m/>
    <n v="68.315757564621862"/>
    <m/>
    <m/>
    <m/>
    <m/>
    <m/>
    <m/>
    <m/>
    <m/>
    <m/>
    <m/>
    <m/>
    <m/>
    <m/>
    <m/>
  </r>
  <r>
    <x v="20"/>
    <x v="3"/>
    <m/>
    <m/>
    <m/>
    <m/>
    <m/>
    <m/>
    <m/>
    <m/>
    <n v="97.348132292599388"/>
    <m/>
    <m/>
    <m/>
    <m/>
    <m/>
    <m/>
    <m/>
    <m/>
    <m/>
    <m/>
    <m/>
    <m/>
    <m/>
    <m/>
  </r>
  <r>
    <x v="20"/>
    <x v="4"/>
    <m/>
    <m/>
    <m/>
    <m/>
    <m/>
    <m/>
    <m/>
    <m/>
    <n v="95.172070517767651"/>
    <m/>
    <m/>
    <m/>
    <m/>
    <m/>
    <m/>
    <m/>
    <m/>
    <m/>
    <m/>
    <m/>
    <m/>
    <m/>
    <m/>
  </r>
  <r>
    <x v="20"/>
    <x v="5"/>
    <m/>
    <m/>
    <m/>
    <m/>
    <m/>
    <m/>
    <m/>
    <m/>
    <n v="106.66472902727179"/>
    <m/>
    <m/>
    <m/>
    <m/>
    <m/>
    <m/>
    <m/>
    <m/>
    <m/>
    <m/>
    <m/>
    <m/>
    <m/>
    <m/>
  </r>
  <r>
    <x v="20"/>
    <x v="6"/>
    <m/>
    <m/>
    <m/>
    <m/>
    <m/>
    <m/>
    <m/>
    <m/>
    <n v="74.207539292276081"/>
    <m/>
    <m/>
    <m/>
    <m/>
    <m/>
    <m/>
    <m/>
    <m/>
    <m/>
    <m/>
    <m/>
    <m/>
    <m/>
    <m/>
  </r>
  <r>
    <x v="20"/>
    <x v="7"/>
    <m/>
    <m/>
    <m/>
    <m/>
    <m/>
    <m/>
    <m/>
    <m/>
    <n v="449.53374146914905"/>
    <m/>
    <m/>
    <m/>
    <m/>
    <m/>
    <m/>
    <m/>
    <m/>
    <m/>
    <m/>
    <m/>
    <m/>
    <m/>
    <m/>
  </r>
  <r>
    <x v="21"/>
    <x v="0"/>
    <m/>
    <m/>
    <m/>
    <m/>
    <m/>
    <m/>
    <m/>
    <m/>
    <n v="0"/>
    <m/>
    <m/>
    <m/>
    <m/>
    <m/>
    <m/>
    <m/>
    <m/>
    <m/>
    <m/>
    <m/>
    <m/>
    <m/>
    <m/>
  </r>
  <r>
    <x v="21"/>
    <x v="1"/>
    <m/>
    <m/>
    <m/>
    <m/>
    <m/>
    <m/>
    <m/>
    <m/>
    <n v="10.542296537036648"/>
    <m/>
    <m/>
    <m/>
    <m/>
    <m/>
    <m/>
    <m/>
    <m/>
    <m/>
    <m/>
    <m/>
    <m/>
    <m/>
    <m/>
  </r>
  <r>
    <x v="21"/>
    <x v="2"/>
    <m/>
    <m/>
    <m/>
    <m/>
    <m/>
    <m/>
    <m/>
    <m/>
    <n v="50.923478155855513"/>
    <m/>
    <m/>
    <m/>
    <m/>
    <m/>
    <m/>
    <m/>
    <m/>
    <m/>
    <m/>
    <m/>
    <m/>
    <m/>
    <m/>
  </r>
  <r>
    <x v="21"/>
    <x v="3"/>
    <m/>
    <m/>
    <m/>
    <m/>
    <m/>
    <m/>
    <m/>
    <m/>
    <n v="70.300586527186411"/>
    <m/>
    <m/>
    <m/>
    <m/>
    <m/>
    <m/>
    <m/>
    <m/>
    <m/>
    <m/>
    <m/>
    <m/>
    <m/>
    <m/>
  </r>
  <r>
    <x v="21"/>
    <x v="4"/>
    <m/>
    <m/>
    <m/>
    <m/>
    <m/>
    <m/>
    <m/>
    <m/>
    <n v="68.743814170339832"/>
    <m/>
    <m/>
    <m/>
    <m/>
    <m/>
    <m/>
    <m/>
    <m/>
    <m/>
    <m/>
    <m/>
    <m/>
    <m/>
    <m/>
  </r>
  <r>
    <x v="21"/>
    <x v="5"/>
    <m/>
    <m/>
    <m/>
    <m/>
    <m/>
    <m/>
    <m/>
    <m/>
    <n v="76.307135135542126"/>
    <m/>
    <m/>
    <m/>
    <m/>
    <m/>
    <m/>
    <m/>
    <m/>
    <m/>
    <m/>
    <m/>
    <m/>
    <m/>
    <m/>
  </r>
  <r>
    <x v="21"/>
    <x v="6"/>
    <m/>
    <m/>
    <m/>
    <m/>
    <m/>
    <m/>
    <m/>
    <m/>
    <n v="54.341377068311729"/>
    <m/>
    <m/>
    <m/>
    <m/>
    <m/>
    <m/>
    <m/>
    <m/>
    <m/>
    <m/>
    <m/>
    <m/>
    <m/>
    <m/>
  </r>
  <r>
    <x v="21"/>
    <x v="7"/>
    <m/>
    <m/>
    <m/>
    <m/>
    <m/>
    <m/>
    <m/>
    <m/>
    <n v="331.15868759427224"/>
    <m/>
    <m/>
    <m/>
    <m/>
    <m/>
    <m/>
    <m/>
    <m/>
    <m/>
    <m/>
    <m/>
    <m/>
    <m/>
    <m/>
  </r>
  <r>
    <x v="22"/>
    <x v="0"/>
    <m/>
    <m/>
    <m/>
    <m/>
    <m/>
    <m/>
    <m/>
    <m/>
    <n v="0"/>
    <m/>
    <m/>
    <m/>
    <m/>
    <m/>
    <m/>
    <m/>
    <m/>
    <m/>
    <m/>
    <m/>
    <m/>
    <m/>
    <m/>
  </r>
  <r>
    <x v="22"/>
    <x v="1"/>
    <m/>
    <m/>
    <m/>
    <m/>
    <m/>
    <m/>
    <m/>
    <m/>
    <n v="0"/>
    <m/>
    <m/>
    <m/>
    <m/>
    <m/>
    <m/>
    <m/>
    <m/>
    <m/>
    <m/>
    <m/>
    <m/>
    <m/>
    <m/>
  </r>
  <r>
    <x v="22"/>
    <x v="2"/>
    <m/>
    <m/>
    <m/>
    <m/>
    <m/>
    <m/>
    <m/>
    <m/>
    <n v="33.39565670006629"/>
    <m/>
    <m/>
    <m/>
    <m/>
    <m/>
    <m/>
    <m/>
    <m/>
    <m/>
    <m/>
    <m/>
    <m/>
    <m/>
    <m/>
  </r>
  <r>
    <x v="22"/>
    <x v="3"/>
    <m/>
    <m/>
    <m/>
    <m/>
    <m/>
    <m/>
    <m/>
    <m/>
    <n v="50.70759091924193"/>
    <m/>
    <m/>
    <m/>
    <m/>
    <m/>
    <m/>
    <m/>
    <m/>
    <m/>
    <m/>
    <m/>
    <m/>
    <m/>
    <m/>
  </r>
  <r>
    <x v="22"/>
    <x v="4"/>
    <m/>
    <m/>
    <m/>
    <m/>
    <m/>
    <m/>
    <m/>
    <m/>
    <n v="49.553869073989702"/>
    <m/>
    <m/>
    <m/>
    <m/>
    <m/>
    <m/>
    <m/>
    <m/>
    <m/>
    <m/>
    <m/>
    <m/>
    <m/>
    <m/>
  </r>
  <r>
    <x v="22"/>
    <x v="5"/>
    <m/>
    <m/>
    <m/>
    <m/>
    <m/>
    <m/>
    <m/>
    <m/>
    <n v="56.554678272555527"/>
    <m/>
    <m/>
    <m/>
    <m/>
    <m/>
    <m/>
    <m/>
    <m/>
    <m/>
    <m/>
    <m/>
    <m/>
    <m/>
    <m/>
  </r>
  <r>
    <x v="22"/>
    <x v="6"/>
    <m/>
    <m/>
    <m/>
    <m/>
    <m/>
    <m/>
    <m/>
    <m/>
    <n v="37.617805363461095"/>
    <m/>
    <m/>
    <m/>
    <m/>
    <m/>
    <m/>
    <m/>
    <m/>
    <m/>
    <m/>
    <m/>
    <m/>
    <m/>
    <m/>
  </r>
  <r>
    <x v="22"/>
    <x v="7"/>
    <m/>
    <m/>
    <m/>
    <m/>
    <m/>
    <m/>
    <m/>
    <m/>
    <n v="227.82960032931453"/>
    <m/>
    <m/>
    <m/>
    <m/>
    <m/>
    <m/>
    <m/>
    <m/>
    <m/>
    <m/>
    <m/>
    <m/>
    <m/>
    <m/>
  </r>
  <r>
    <x v="23"/>
    <x v="0"/>
    <m/>
    <m/>
    <m/>
    <m/>
    <m/>
    <m/>
    <m/>
    <m/>
    <n v="0"/>
    <m/>
    <m/>
    <m/>
    <m/>
    <m/>
    <m/>
    <m/>
    <m/>
    <m/>
    <m/>
    <m/>
    <m/>
    <m/>
    <m/>
  </r>
  <r>
    <x v="23"/>
    <x v="1"/>
    <m/>
    <m/>
    <m/>
    <m/>
    <m/>
    <m/>
    <m/>
    <m/>
    <n v="5.209992813091084"/>
    <m/>
    <m/>
    <m/>
    <m/>
    <m/>
    <m/>
    <m/>
    <m/>
    <m/>
    <m/>
    <m/>
    <m/>
    <m/>
    <m/>
  </r>
  <r>
    <x v="23"/>
    <x v="2"/>
    <m/>
    <m/>
    <m/>
    <m/>
    <m/>
    <m/>
    <m/>
    <m/>
    <n v="55.368952514276629"/>
    <m/>
    <m/>
    <m/>
    <m/>
    <m/>
    <m/>
    <m/>
    <m/>
    <m/>
    <m/>
    <m/>
    <m/>
    <m/>
    <m/>
  </r>
  <r>
    <x v="23"/>
    <x v="3"/>
    <m/>
    <m/>
    <m/>
    <m/>
    <m/>
    <m/>
    <m/>
    <m/>
    <n v="79.443749541501873"/>
    <m/>
    <m/>
    <m/>
    <m/>
    <m/>
    <m/>
    <m/>
    <m/>
    <m/>
    <m/>
    <m/>
    <m/>
    <m/>
    <m/>
  </r>
  <r>
    <x v="23"/>
    <x v="4"/>
    <m/>
    <m/>
    <m/>
    <m/>
    <m/>
    <m/>
    <m/>
    <m/>
    <n v="77.664380074730843"/>
    <m/>
    <m/>
    <m/>
    <m/>
    <m/>
    <m/>
    <m/>
    <m/>
    <m/>
    <m/>
    <m/>
    <m/>
    <m/>
    <m/>
  </r>
  <r>
    <x v="23"/>
    <x v="5"/>
    <m/>
    <m/>
    <m/>
    <m/>
    <m/>
    <m/>
    <m/>
    <m/>
    <n v="87.220337584808519"/>
    <m/>
    <m/>
    <m/>
    <m/>
    <m/>
    <m/>
    <m/>
    <m/>
    <m/>
    <m/>
    <m/>
    <m/>
    <m/>
    <m/>
  </r>
  <r>
    <x v="23"/>
    <x v="6"/>
    <m/>
    <m/>
    <m/>
    <m/>
    <m/>
    <m/>
    <m/>
    <m/>
    <n v="60.378373283185056"/>
    <m/>
    <m/>
    <m/>
    <m/>
    <m/>
    <m/>
    <m/>
    <m/>
    <m/>
    <m/>
    <m/>
    <m/>
    <m/>
    <m/>
  </r>
  <r>
    <x v="23"/>
    <x v="7"/>
    <m/>
    <m/>
    <m/>
    <m/>
    <m/>
    <m/>
    <m/>
    <m/>
    <n v="365.285785811594"/>
    <m/>
    <m/>
    <m/>
    <m/>
    <m/>
    <m/>
    <m/>
    <m/>
    <m/>
    <m/>
    <m/>
    <m/>
    <m/>
    <m/>
  </r>
  <r>
    <x v="24"/>
    <x v="0"/>
    <m/>
    <m/>
    <m/>
    <m/>
    <m/>
    <m/>
    <m/>
    <m/>
    <n v="0"/>
    <m/>
    <m/>
    <m/>
    <m/>
    <m/>
    <m/>
    <m/>
    <m/>
    <m/>
    <m/>
    <m/>
    <m/>
    <m/>
    <m/>
  </r>
  <r>
    <x v="24"/>
    <x v="1"/>
    <m/>
    <m/>
    <m/>
    <m/>
    <m/>
    <m/>
    <m/>
    <m/>
    <n v="19.652820390099116"/>
    <m/>
    <m/>
    <m/>
    <m/>
    <m/>
    <m/>
    <m/>
    <m/>
    <m/>
    <m/>
    <m/>
    <m/>
    <m/>
    <m/>
  </r>
  <r>
    <x v="24"/>
    <x v="2"/>
    <m/>
    <m/>
    <m/>
    <m/>
    <m/>
    <m/>
    <m/>
    <m/>
    <n v="88.779549114027887"/>
    <m/>
    <m/>
    <m/>
    <m/>
    <m/>
    <m/>
    <m/>
    <m/>
    <m/>
    <m/>
    <m/>
    <m/>
    <m/>
    <m/>
  </r>
  <r>
    <x v="24"/>
    <x v="3"/>
    <m/>
    <m/>
    <m/>
    <m/>
    <m/>
    <m/>
    <m/>
    <m/>
    <n v="121.94917352186415"/>
    <m/>
    <m/>
    <m/>
    <m/>
    <m/>
    <m/>
    <m/>
    <m/>
    <m/>
    <m/>
    <m/>
    <m/>
    <m/>
    <m/>
  </r>
  <r>
    <x v="24"/>
    <x v="4"/>
    <m/>
    <m/>
    <m/>
    <m/>
    <m/>
    <m/>
    <m/>
    <m/>
    <n v="119.25276739223887"/>
    <m/>
    <m/>
    <m/>
    <m/>
    <m/>
    <m/>
    <m/>
    <m/>
    <m/>
    <m/>
    <m/>
    <m/>
    <m/>
    <m/>
  </r>
  <r>
    <x v="24"/>
    <x v="5"/>
    <m/>
    <m/>
    <m/>
    <m/>
    <m/>
    <m/>
    <m/>
    <m/>
    <n v="132.1672291244117"/>
    <m/>
    <m/>
    <m/>
    <m/>
    <m/>
    <m/>
    <m/>
    <m/>
    <m/>
    <m/>
    <m/>
    <m/>
    <m/>
    <m/>
  </r>
  <r>
    <x v="24"/>
    <x v="6"/>
    <m/>
    <m/>
    <m/>
    <m/>
    <m/>
    <m/>
    <m/>
    <m/>
    <n v="94.474908302155498"/>
    <m/>
    <m/>
    <m/>
    <m/>
    <m/>
    <m/>
    <m/>
    <m/>
    <m/>
    <m/>
    <m/>
    <m/>
    <m/>
    <m/>
  </r>
  <r>
    <x v="24"/>
    <x v="7"/>
    <m/>
    <m/>
    <m/>
    <m/>
    <m/>
    <m/>
    <m/>
    <m/>
    <n v="576.2764478447973"/>
    <m/>
    <m/>
    <m/>
    <m/>
    <m/>
    <m/>
    <m/>
    <m/>
    <m/>
    <m/>
    <m/>
    <m/>
    <m/>
    <m/>
  </r>
  <r>
    <x v="25"/>
    <x v="0"/>
    <m/>
    <m/>
    <m/>
    <m/>
    <m/>
    <m/>
    <m/>
    <m/>
    <n v="0"/>
    <m/>
    <m/>
    <m/>
    <m/>
    <m/>
    <m/>
    <m/>
    <m/>
    <m/>
    <m/>
    <m/>
    <m/>
    <m/>
    <m/>
  </r>
  <r>
    <x v="25"/>
    <x v="1"/>
    <m/>
    <m/>
    <m/>
    <m/>
    <m/>
    <m/>
    <m/>
    <m/>
    <n v="11.563262084623606"/>
    <m/>
    <m/>
    <m/>
    <m/>
    <m/>
    <m/>
    <m/>
    <m/>
    <m/>
    <m/>
    <m/>
    <m/>
    <m/>
    <m/>
  </r>
  <r>
    <x v="25"/>
    <x v="2"/>
    <m/>
    <m/>
    <m/>
    <m/>
    <m/>
    <m/>
    <m/>
    <m/>
    <n v="57.825971666177665"/>
    <m/>
    <m/>
    <m/>
    <m/>
    <m/>
    <m/>
    <m/>
    <m/>
    <m/>
    <m/>
    <m/>
    <m/>
    <m/>
    <m/>
  </r>
  <r>
    <x v="25"/>
    <x v="3"/>
    <m/>
    <m/>
    <m/>
    <m/>
    <m/>
    <m/>
    <m/>
    <m/>
    <n v="80.025736884205898"/>
    <m/>
    <m/>
    <m/>
    <m/>
    <m/>
    <m/>
    <m/>
    <m/>
    <m/>
    <m/>
    <m/>
    <m/>
    <m/>
    <m/>
  </r>
  <r>
    <x v="25"/>
    <x v="4"/>
    <m/>
    <m/>
    <m/>
    <m/>
    <m/>
    <m/>
    <m/>
    <m/>
    <n v="78.252292490480997"/>
    <m/>
    <m/>
    <m/>
    <m/>
    <m/>
    <m/>
    <m/>
    <m/>
    <m/>
    <m/>
    <m/>
    <m/>
    <m/>
    <m/>
  </r>
  <r>
    <x v="25"/>
    <x v="5"/>
    <m/>
    <m/>
    <m/>
    <m/>
    <m/>
    <m/>
    <m/>
    <m/>
    <n v="86.927736672866644"/>
    <m/>
    <m/>
    <m/>
    <m/>
    <m/>
    <m/>
    <m/>
    <m/>
    <m/>
    <m/>
    <m/>
    <m/>
    <m/>
    <m/>
  </r>
  <r>
    <x v="25"/>
    <x v="6"/>
    <m/>
    <m/>
    <m/>
    <m/>
    <m/>
    <m/>
    <m/>
    <m/>
    <n v="61.791536842791679"/>
    <m/>
    <m/>
    <m/>
    <m/>
    <m/>
    <m/>
    <m/>
    <m/>
    <m/>
    <m/>
    <m/>
    <m/>
    <m/>
    <m/>
  </r>
  <r>
    <x v="25"/>
    <x v="7"/>
    <m/>
    <m/>
    <m/>
    <m/>
    <m/>
    <m/>
    <m/>
    <m/>
    <n v="376.38653664114651"/>
    <m/>
    <m/>
    <m/>
    <m/>
    <m/>
    <m/>
    <m/>
    <m/>
    <m/>
    <m/>
    <m/>
    <m/>
    <m/>
    <m/>
  </r>
  <r>
    <x v="26"/>
    <x v="0"/>
    <m/>
    <m/>
    <m/>
    <m/>
    <m/>
    <m/>
    <m/>
    <m/>
    <n v="0"/>
    <m/>
    <m/>
    <m/>
    <m/>
    <m/>
    <m/>
    <m/>
    <m/>
    <m/>
    <m/>
    <m/>
    <m/>
    <m/>
    <m/>
  </r>
  <r>
    <x v="26"/>
    <x v="1"/>
    <m/>
    <m/>
    <m/>
    <m/>
    <m/>
    <m/>
    <m/>
    <m/>
    <n v="12.566221346962143"/>
    <m/>
    <m/>
    <m/>
    <m/>
    <m/>
    <m/>
    <m/>
    <m/>
    <m/>
    <m/>
    <m/>
    <m/>
    <m/>
    <m/>
  </r>
  <r>
    <x v="26"/>
    <x v="2"/>
    <m/>
    <m/>
    <m/>
    <m/>
    <m/>
    <m/>
    <m/>
    <m/>
    <n v="47.438741748310846"/>
    <m/>
    <m/>
    <m/>
    <m/>
    <m/>
    <m/>
    <m/>
    <m/>
    <m/>
    <m/>
    <m/>
    <m/>
    <m/>
    <m/>
  </r>
  <r>
    <x v="26"/>
    <x v="3"/>
    <m/>
    <m/>
    <m/>
    <m/>
    <m/>
    <m/>
    <m/>
    <m/>
    <n v="64.169956860199449"/>
    <m/>
    <m/>
    <m/>
    <m/>
    <m/>
    <m/>
    <m/>
    <m/>
    <m/>
    <m/>
    <m/>
    <m/>
    <m/>
    <m/>
  </r>
  <r>
    <x v="26"/>
    <x v="4"/>
    <m/>
    <m/>
    <m/>
    <m/>
    <m/>
    <m/>
    <m/>
    <m/>
    <n v="62.757781155330015"/>
    <m/>
    <m/>
    <m/>
    <m/>
    <m/>
    <m/>
    <m/>
    <m/>
    <m/>
    <m/>
    <m/>
    <m/>
    <m/>
    <m/>
  </r>
  <r>
    <x v="26"/>
    <x v="5"/>
    <m/>
    <m/>
    <m/>
    <m/>
    <m/>
    <m/>
    <m/>
    <m/>
    <n v="69.218528073947766"/>
    <m/>
    <m/>
    <m/>
    <m/>
    <m/>
    <m/>
    <m/>
    <m/>
    <m/>
    <m/>
    <m/>
    <m/>
    <m/>
    <m/>
  </r>
  <r>
    <x v="26"/>
    <x v="6"/>
    <m/>
    <m/>
    <m/>
    <m/>
    <m/>
    <m/>
    <m/>
    <m/>
    <n v="50.054966602037616"/>
    <m/>
    <m/>
    <m/>
    <m/>
    <m/>
    <m/>
    <m/>
    <m/>
    <m/>
    <m/>
    <m/>
    <m/>
    <m/>
    <m/>
  </r>
  <r>
    <x v="26"/>
    <x v="7"/>
    <m/>
    <m/>
    <m/>
    <m/>
    <m/>
    <m/>
    <m/>
    <m/>
    <n v="306.20619578678782"/>
    <m/>
    <m/>
    <m/>
    <m/>
    <m/>
    <m/>
    <m/>
    <m/>
    <m/>
    <m/>
    <m/>
    <m/>
    <m/>
    <m/>
  </r>
  <r>
    <x v="27"/>
    <x v="0"/>
    <m/>
    <m/>
    <m/>
    <m/>
    <m/>
    <m/>
    <m/>
    <m/>
    <n v="0"/>
    <m/>
    <m/>
    <m/>
    <m/>
    <m/>
    <m/>
    <m/>
    <m/>
    <m/>
    <m/>
    <m/>
    <m/>
    <m/>
    <m/>
  </r>
  <r>
    <x v="27"/>
    <x v="1"/>
    <m/>
    <m/>
    <m/>
    <m/>
    <m/>
    <m/>
    <m/>
    <m/>
    <n v="17.519684106305608"/>
    <m/>
    <m/>
    <m/>
    <m/>
    <m/>
    <m/>
    <m/>
    <m/>
    <m/>
    <m/>
    <m/>
    <m/>
    <m/>
    <m/>
  </r>
  <r>
    <x v="27"/>
    <x v="2"/>
    <m/>
    <m/>
    <m/>
    <m/>
    <m/>
    <m/>
    <m/>
    <m/>
    <n v="77.71727707797163"/>
    <m/>
    <m/>
    <m/>
    <m/>
    <m/>
    <m/>
    <m/>
    <m/>
    <m/>
    <m/>
    <m/>
    <m/>
    <m/>
    <m/>
  </r>
  <r>
    <x v="27"/>
    <x v="3"/>
    <m/>
    <m/>
    <m/>
    <m/>
    <m/>
    <m/>
    <m/>
    <m/>
    <n v="106.71201230861257"/>
    <m/>
    <m/>
    <m/>
    <m/>
    <m/>
    <m/>
    <m/>
    <m/>
    <m/>
    <m/>
    <m/>
    <m/>
    <m/>
    <m/>
  </r>
  <r>
    <x v="27"/>
    <x v="4"/>
    <m/>
    <m/>
    <m/>
    <m/>
    <m/>
    <m/>
    <m/>
    <m/>
    <n v="104.35279498523688"/>
    <m/>
    <m/>
    <m/>
    <m/>
    <m/>
    <m/>
    <m/>
    <m/>
    <m/>
    <m/>
    <m/>
    <m/>
    <m/>
    <m/>
  </r>
  <r>
    <x v="27"/>
    <x v="5"/>
    <m/>
    <m/>
    <m/>
    <m/>
    <m/>
    <m/>
    <m/>
    <m/>
    <n v="115.63952669989618"/>
    <m/>
    <m/>
    <m/>
    <m/>
    <m/>
    <m/>
    <m/>
    <m/>
    <m/>
    <m/>
    <m/>
    <m/>
    <m/>
    <m/>
  </r>
  <r>
    <x v="27"/>
    <x v="6"/>
    <m/>
    <m/>
    <m/>
    <m/>
    <m/>
    <m/>
    <m/>
    <m/>
    <n v="82.68497994855143"/>
    <m/>
    <m/>
    <m/>
    <m/>
    <m/>
    <m/>
    <m/>
    <m/>
    <m/>
    <m/>
    <m/>
    <m/>
    <m/>
    <m/>
  </r>
  <r>
    <x v="0"/>
    <x v="0"/>
    <m/>
    <m/>
    <m/>
    <m/>
    <m/>
    <m/>
    <m/>
    <m/>
    <m/>
    <n v="1.9436558200480456"/>
    <m/>
    <m/>
    <m/>
    <m/>
    <m/>
    <m/>
    <m/>
    <m/>
    <m/>
    <m/>
    <m/>
    <m/>
    <m/>
  </r>
  <r>
    <x v="0"/>
    <x v="1"/>
    <m/>
    <m/>
    <m/>
    <m/>
    <m/>
    <m/>
    <m/>
    <m/>
    <m/>
    <n v="5.2964621096309239"/>
    <m/>
    <m/>
    <m/>
    <m/>
    <m/>
    <m/>
    <m/>
    <m/>
    <m/>
    <m/>
    <m/>
    <m/>
    <m/>
  </r>
  <r>
    <x v="0"/>
    <x v="2"/>
    <m/>
    <m/>
    <m/>
    <m/>
    <m/>
    <m/>
    <m/>
    <m/>
    <m/>
    <n v="5.1020965276261201"/>
    <m/>
    <m/>
    <m/>
    <m/>
    <m/>
    <m/>
    <m/>
    <m/>
    <m/>
    <m/>
    <m/>
    <m/>
    <m/>
  </r>
  <r>
    <x v="0"/>
    <x v="3"/>
    <m/>
    <m/>
    <m/>
    <m/>
    <m/>
    <m/>
    <m/>
    <m/>
    <m/>
    <n v="5.0049137366237177"/>
    <m/>
    <m/>
    <m/>
    <m/>
    <m/>
    <m/>
    <m/>
    <m/>
    <m/>
    <m/>
    <m/>
    <m/>
    <m/>
  </r>
  <r>
    <x v="0"/>
    <x v="4"/>
    <m/>
    <m/>
    <m/>
    <m/>
    <m/>
    <m/>
    <m/>
    <m/>
    <m/>
    <n v="4.9077309456213154"/>
    <m/>
    <m/>
    <m/>
    <m/>
    <m/>
    <m/>
    <m/>
    <m/>
    <m/>
    <m/>
    <m/>
    <m/>
    <m/>
  </r>
  <r>
    <x v="0"/>
    <x v="5"/>
    <m/>
    <m/>
    <m/>
    <m/>
    <m/>
    <m/>
    <m/>
    <m/>
    <m/>
    <n v="4.7619567591177114"/>
    <m/>
    <m/>
    <m/>
    <m/>
    <m/>
    <m/>
    <m/>
    <m/>
    <m/>
    <m/>
    <m/>
    <m/>
    <m/>
  </r>
  <r>
    <x v="0"/>
    <x v="6"/>
    <m/>
    <m/>
    <m/>
    <m/>
    <m/>
    <m/>
    <m/>
    <m/>
    <m/>
    <n v="4.5675911771129067"/>
    <m/>
    <m/>
    <m/>
    <m/>
    <m/>
    <m/>
    <m/>
    <m/>
    <m/>
    <m/>
    <m/>
    <m/>
    <m/>
  </r>
  <r>
    <x v="0"/>
    <x v="7"/>
    <m/>
    <m/>
    <m/>
    <m/>
    <m/>
    <m/>
    <m/>
    <m/>
    <m/>
    <n v="31.61057290168678"/>
    <m/>
    <m/>
    <m/>
    <m/>
    <m/>
    <m/>
    <m/>
    <m/>
    <m/>
    <m/>
    <m/>
    <m/>
    <m/>
  </r>
  <r>
    <x v="1"/>
    <x v="0"/>
    <m/>
    <m/>
    <m/>
    <m/>
    <m/>
    <m/>
    <m/>
    <m/>
    <m/>
    <n v="4.3158161970043158"/>
    <m/>
    <m/>
    <m/>
    <m/>
    <m/>
    <m/>
    <m/>
    <m/>
    <m/>
    <m/>
    <m/>
    <m/>
    <m/>
  </r>
  <r>
    <x v="1"/>
    <x v="1"/>
    <m/>
    <m/>
    <m/>
    <m/>
    <m/>
    <m/>
    <m/>
    <m/>
    <m/>
    <n v="11.76059913683676"/>
    <m/>
    <m/>
    <m/>
    <m/>
    <m/>
    <m/>
    <m/>
    <m/>
    <m/>
    <m/>
    <m/>
    <m/>
    <m/>
  </r>
  <r>
    <x v="1"/>
    <x v="2"/>
    <m/>
    <m/>
    <m/>
    <m/>
    <m/>
    <m/>
    <m/>
    <m/>
    <m/>
    <n v="11.329017517136329"/>
    <m/>
    <m/>
    <m/>
    <m/>
    <m/>
    <m/>
    <m/>
    <m/>
    <m/>
    <m/>
    <m/>
    <m/>
    <m/>
  </r>
  <r>
    <x v="1"/>
    <x v="3"/>
    <m/>
    <m/>
    <m/>
    <m/>
    <m/>
    <m/>
    <m/>
    <m/>
    <m/>
    <n v="11.113226707286112"/>
    <m/>
    <m/>
    <m/>
    <m/>
    <m/>
    <m/>
    <m/>
    <m/>
    <m/>
    <m/>
    <m/>
    <m/>
    <m/>
  </r>
  <r>
    <x v="1"/>
    <x v="4"/>
    <m/>
    <m/>
    <m/>
    <m/>
    <m/>
    <m/>
    <m/>
    <m/>
    <m/>
    <n v="10.897435897435898"/>
    <m/>
    <m/>
    <m/>
    <m/>
    <m/>
    <m/>
    <m/>
    <m/>
    <m/>
    <m/>
    <m/>
    <m/>
    <m/>
  </r>
  <r>
    <x v="1"/>
    <x v="5"/>
    <m/>
    <m/>
    <m/>
    <m/>
    <m/>
    <m/>
    <m/>
    <m/>
    <m/>
    <n v="10.573749682660573"/>
    <m/>
    <m/>
    <m/>
    <m/>
    <m/>
    <m/>
    <m/>
    <m/>
    <m/>
    <m/>
    <m/>
    <m/>
    <m/>
  </r>
  <r>
    <x v="1"/>
    <x v="6"/>
    <m/>
    <m/>
    <m/>
    <m/>
    <m/>
    <m/>
    <m/>
    <m/>
    <m/>
    <n v="10.142168062960142"/>
    <m/>
    <m/>
    <m/>
    <m/>
    <m/>
    <m/>
    <m/>
    <m/>
    <m/>
    <m/>
    <m/>
    <m/>
    <m/>
  </r>
  <r>
    <x v="1"/>
    <x v="7"/>
    <m/>
    <m/>
    <m/>
    <m/>
    <m/>
    <m/>
    <m/>
    <m/>
    <m/>
    <n v="70.226363558404302"/>
    <m/>
    <m/>
    <m/>
    <m/>
    <m/>
    <m/>
    <m/>
    <m/>
    <m/>
    <m/>
    <m/>
    <m/>
    <m/>
  </r>
  <r>
    <x v="2"/>
    <x v="0"/>
    <m/>
    <m/>
    <m/>
    <m/>
    <m/>
    <m/>
    <m/>
    <m/>
    <m/>
    <n v="11.947245927075251"/>
    <m/>
    <m/>
    <m/>
    <m/>
    <m/>
    <m/>
    <m/>
    <m/>
    <m/>
    <m/>
    <m/>
    <m/>
    <m/>
  </r>
  <r>
    <x v="2"/>
    <x v="1"/>
    <m/>
    <m/>
    <m/>
    <m/>
    <m/>
    <m/>
    <m/>
    <m/>
    <m/>
    <n v="32.556245151280059"/>
    <m/>
    <m/>
    <m/>
    <m/>
    <m/>
    <m/>
    <m/>
    <m/>
    <m/>
    <m/>
    <m/>
    <m/>
    <m/>
  </r>
  <r>
    <x v="2"/>
    <x v="2"/>
    <m/>
    <m/>
    <m/>
    <m/>
    <m/>
    <m/>
    <m/>
    <m/>
    <m/>
    <n v="31.361520558572536"/>
    <m/>
    <m/>
    <m/>
    <m/>
    <m/>
    <m/>
    <m/>
    <m/>
    <m/>
    <m/>
    <m/>
    <m/>
    <m/>
  </r>
  <r>
    <x v="2"/>
    <x v="3"/>
    <m/>
    <m/>
    <m/>
    <m/>
    <m/>
    <m/>
    <m/>
    <m/>
    <m/>
    <n v="30.764158262218775"/>
    <m/>
    <m/>
    <m/>
    <m/>
    <m/>
    <m/>
    <m/>
    <m/>
    <m/>
    <m/>
    <m/>
    <m/>
    <m/>
  </r>
  <r>
    <x v="2"/>
    <x v="4"/>
    <m/>
    <m/>
    <m/>
    <m/>
    <m/>
    <m/>
    <m/>
    <m/>
    <m/>
    <n v="30.166795965865013"/>
    <m/>
    <m/>
    <m/>
    <m/>
    <m/>
    <m/>
    <m/>
    <m/>
    <m/>
    <m/>
    <m/>
    <m/>
    <m/>
  </r>
  <r>
    <x v="2"/>
    <x v="5"/>
    <m/>
    <m/>
    <m/>
    <m/>
    <m/>
    <m/>
    <m/>
    <m/>
    <m/>
    <n v="29.270752521334366"/>
    <m/>
    <m/>
    <m/>
    <m/>
    <m/>
    <m/>
    <m/>
    <m/>
    <m/>
    <m/>
    <m/>
    <m/>
    <m/>
  </r>
  <r>
    <x v="2"/>
    <x v="6"/>
    <m/>
    <m/>
    <m/>
    <m/>
    <m/>
    <m/>
    <m/>
    <m/>
    <m/>
    <n v="28.076027928626839"/>
    <m/>
    <m/>
    <m/>
    <m/>
    <m/>
    <m/>
    <m/>
    <m/>
    <m/>
    <m/>
    <m/>
    <m/>
    <m/>
  </r>
  <r>
    <x v="2"/>
    <x v="7"/>
    <m/>
    <m/>
    <m/>
    <m/>
    <m/>
    <m/>
    <m/>
    <m/>
    <m/>
    <n v="193.90925370892936"/>
    <m/>
    <m/>
    <m/>
    <m/>
    <m/>
    <m/>
    <m/>
    <m/>
    <m/>
    <m/>
    <m/>
    <m/>
    <m/>
  </r>
  <r>
    <x v="3"/>
    <x v="0"/>
    <m/>
    <m/>
    <m/>
    <m/>
    <m/>
    <m/>
    <m/>
    <m/>
    <m/>
    <n v="10.046607975142415"/>
    <m/>
    <m/>
    <m/>
    <m/>
    <m/>
    <m/>
    <m/>
    <m/>
    <m/>
    <m/>
    <m/>
    <m/>
    <m/>
  </r>
  <r>
    <x v="3"/>
    <x v="1"/>
    <m/>
    <m/>
    <m/>
    <m/>
    <m/>
    <m/>
    <m/>
    <m/>
    <m/>
    <n v="27.377006732263073"/>
    <m/>
    <m/>
    <m/>
    <m/>
    <m/>
    <m/>
    <m/>
    <m/>
    <m/>
    <m/>
    <m/>
    <m/>
    <m/>
  </r>
  <r>
    <x v="3"/>
    <x v="2"/>
    <m/>
    <m/>
    <m/>
    <m/>
    <m/>
    <m/>
    <m/>
    <m/>
    <m/>
    <n v="26.372345934748836"/>
    <m/>
    <m/>
    <m/>
    <m/>
    <m/>
    <m/>
    <m/>
    <m/>
    <m/>
    <m/>
    <m/>
    <m/>
    <m/>
  </r>
  <r>
    <x v="3"/>
    <x v="3"/>
    <m/>
    <m/>
    <m/>
    <m/>
    <m/>
    <m/>
    <m/>
    <m/>
    <m/>
    <n v="25.870015535991712"/>
    <m/>
    <m/>
    <m/>
    <m/>
    <m/>
    <m/>
    <m/>
    <m/>
    <m/>
    <m/>
    <m/>
    <m/>
    <m/>
  </r>
  <r>
    <x v="3"/>
    <x v="4"/>
    <m/>
    <m/>
    <m/>
    <m/>
    <m/>
    <m/>
    <m/>
    <m/>
    <m/>
    <n v="25.367685137234592"/>
    <m/>
    <m/>
    <m/>
    <m/>
    <m/>
    <m/>
    <m/>
    <m/>
    <m/>
    <m/>
    <m/>
    <m/>
    <m/>
  </r>
  <r>
    <x v="3"/>
    <x v="5"/>
    <m/>
    <m/>
    <m/>
    <m/>
    <m/>
    <m/>
    <m/>
    <m/>
    <m/>
    <n v="24.614189539098913"/>
    <m/>
    <m/>
    <m/>
    <m/>
    <m/>
    <m/>
    <m/>
    <m/>
    <m/>
    <m/>
    <m/>
    <m/>
    <m/>
  </r>
  <r>
    <x v="3"/>
    <x v="6"/>
    <m/>
    <m/>
    <m/>
    <m/>
    <m/>
    <m/>
    <m/>
    <m/>
    <m/>
    <n v="23.609528741584672"/>
    <m/>
    <m/>
    <m/>
    <m/>
    <m/>
    <m/>
    <m/>
    <m/>
    <m/>
    <m/>
    <m/>
    <m/>
    <m/>
  </r>
  <r>
    <x v="3"/>
    <x v="7"/>
    <m/>
    <m/>
    <m/>
    <m/>
    <m/>
    <m/>
    <m/>
    <m/>
    <m/>
    <n v="163.52562131338289"/>
    <m/>
    <m/>
    <m/>
    <m/>
    <m/>
    <m/>
    <m/>
    <m/>
    <m/>
    <m/>
    <m/>
    <m/>
    <m/>
  </r>
  <r>
    <x v="4"/>
    <x v="0"/>
    <m/>
    <m/>
    <m/>
    <m/>
    <m/>
    <m/>
    <m/>
    <m/>
    <m/>
    <n v="4.1407867494824018"/>
    <m/>
    <m/>
    <m/>
    <m/>
    <m/>
    <m/>
    <m/>
    <m/>
    <m/>
    <m/>
    <m/>
    <m/>
    <m/>
  </r>
  <r>
    <x v="4"/>
    <x v="1"/>
    <m/>
    <m/>
    <m/>
    <m/>
    <m/>
    <m/>
    <m/>
    <m/>
    <m/>
    <n v="11.283643892339546"/>
    <m/>
    <m/>
    <m/>
    <m/>
    <m/>
    <m/>
    <m/>
    <m/>
    <m/>
    <m/>
    <m/>
    <m/>
    <m/>
  </r>
  <r>
    <x v="4"/>
    <x v="2"/>
    <m/>
    <m/>
    <m/>
    <m/>
    <m/>
    <m/>
    <m/>
    <m/>
    <m/>
    <n v="10.869565217391305"/>
    <m/>
    <m/>
    <m/>
    <m/>
    <m/>
    <m/>
    <m/>
    <m/>
    <m/>
    <m/>
    <m/>
    <m/>
    <m/>
  </r>
  <r>
    <x v="4"/>
    <x v="3"/>
    <m/>
    <m/>
    <m/>
    <m/>
    <m/>
    <m/>
    <m/>
    <m/>
    <m/>
    <n v="10.662525879917185"/>
    <m/>
    <m/>
    <m/>
    <m/>
    <m/>
    <m/>
    <m/>
    <m/>
    <m/>
    <m/>
    <m/>
    <m/>
    <m/>
  </r>
  <r>
    <x v="4"/>
    <x v="4"/>
    <m/>
    <m/>
    <m/>
    <m/>
    <m/>
    <m/>
    <m/>
    <m/>
    <m/>
    <n v="10.455486542443063"/>
    <m/>
    <m/>
    <m/>
    <m/>
    <m/>
    <m/>
    <m/>
    <m/>
    <m/>
    <m/>
    <m/>
    <m/>
    <m/>
  </r>
  <r>
    <x v="4"/>
    <x v="5"/>
    <m/>
    <m/>
    <m/>
    <m/>
    <m/>
    <m/>
    <m/>
    <m/>
    <m/>
    <n v="10.144927536231885"/>
    <m/>
    <m/>
    <m/>
    <m/>
    <m/>
    <m/>
    <m/>
    <m/>
    <m/>
    <m/>
    <m/>
    <m/>
    <m/>
  </r>
  <r>
    <x v="4"/>
    <x v="6"/>
    <m/>
    <m/>
    <m/>
    <m/>
    <m/>
    <m/>
    <m/>
    <m/>
    <m/>
    <n v="9.7308488612836452"/>
    <m/>
    <m/>
    <m/>
    <m/>
    <m/>
    <m/>
    <m/>
    <m/>
    <m/>
    <m/>
    <m/>
    <m/>
    <m/>
  </r>
  <r>
    <x v="4"/>
    <x v="7"/>
    <m/>
    <m/>
    <m/>
    <m/>
    <m/>
    <m/>
    <m/>
    <m/>
    <m/>
    <n v="67.8689996539605"/>
    <m/>
    <m/>
    <m/>
    <m/>
    <m/>
    <m/>
    <m/>
    <m/>
    <m/>
    <m/>
    <m/>
    <m/>
    <m/>
  </r>
  <r>
    <x v="5"/>
    <x v="0"/>
    <m/>
    <m/>
    <m/>
    <m/>
    <m/>
    <m/>
    <m/>
    <m/>
    <m/>
    <n v="4.4032657554352816"/>
    <m/>
    <m/>
    <m/>
    <m/>
    <m/>
    <m/>
    <m/>
    <m/>
    <m/>
    <m/>
    <m/>
    <m/>
    <m/>
  </r>
  <r>
    <x v="5"/>
    <x v="1"/>
    <m/>
    <m/>
    <m/>
    <m/>
    <m/>
    <m/>
    <m/>
    <m/>
    <m/>
    <n v="11.998899183561143"/>
    <m/>
    <m/>
    <m/>
    <m/>
    <m/>
    <m/>
    <m/>
    <m/>
    <m/>
    <m/>
    <m/>
    <m/>
    <m/>
  </r>
  <r>
    <x v="5"/>
    <x v="2"/>
    <m/>
    <m/>
    <m/>
    <m/>
    <m/>
    <m/>
    <m/>
    <m/>
    <m/>
    <n v="11.558572608017613"/>
    <m/>
    <m/>
    <m/>
    <m/>
    <m/>
    <m/>
    <m/>
    <m/>
    <m/>
    <m/>
    <m/>
    <m/>
    <m/>
  </r>
  <r>
    <x v="5"/>
    <x v="3"/>
    <m/>
    <m/>
    <m/>
    <m/>
    <m/>
    <m/>
    <m/>
    <m/>
    <m/>
    <n v="11.33840932024585"/>
    <m/>
    <m/>
    <m/>
    <m/>
    <m/>
    <m/>
    <m/>
    <m/>
    <m/>
    <m/>
    <m/>
    <m/>
    <m/>
  </r>
  <r>
    <x v="5"/>
    <x v="4"/>
    <m/>
    <m/>
    <m/>
    <m/>
    <m/>
    <m/>
    <m/>
    <m/>
    <m/>
    <n v="11.118246032474085"/>
    <m/>
    <m/>
    <m/>
    <m/>
    <m/>
    <m/>
    <m/>
    <m/>
    <m/>
    <m/>
    <m/>
    <m/>
    <m/>
  </r>
  <r>
    <x v="5"/>
    <x v="5"/>
    <m/>
    <m/>
    <m/>
    <m/>
    <m/>
    <m/>
    <m/>
    <m/>
    <m/>
    <n v="10.788001100816439"/>
    <m/>
    <m/>
    <m/>
    <m/>
    <m/>
    <m/>
    <m/>
    <m/>
    <m/>
    <m/>
    <m/>
    <m/>
    <m/>
  </r>
  <r>
    <x v="5"/>
    <x v="6"/>
    <m/>
    <m/>
    <m/>
    <m/>
    <m/>
    <m/>
    <m/>
    <m/>
    <m/>
    <n v="10.347674525272913"/>
    <m/>
    <m/>
    <m/>
    <m/>
    <m/>
    <m/>
    <m/>
    <m/>
    <m/>
    <m/>
    <m/>
    <m/>
    <m/>
  </r>
  <r>
    <x v="5"/>
    <x v="7"/>
    <m/>
    <m/>
    <m/>
    <m/>
    <m/>
    <m/>
    <m/>
    <m/>
    <m/>
    <n v="71.628037491649138"/>
    <m/>
    <m/>
    <m/>
    <m/>
    <m/>
    <m/>
    <m/>
    <m/>
    <m/>
    <m/>
    <m/>
    <m/>
    <m/>
  </r>
  <r>
    <x v="6"/>
    <x v="0"/>
    <m/>
    <m/>
    <m/>
    <m/>
    <m/>
    <m/>
    <m/>
    <m/>
    <m/>
    <n v="1.6775708773695688"/>
    <m/>
    <m/>
    <m/>
    <m/>
    <m/>
    <m/>
    <m/>
    <m/>
    <m/>
    <m/>
    <m/>
    <m/>
    <m/>
  </r>
  <r>
    <x v="6"/>
    <x v="1"/>
    <m/>
    <m/>
    <m/>
    <m/>
    <m/>
    <m/>
    <m/>
    <m/>
    <m/>
    <n v="4.571380640832075"/>
    <m/>
    <m/>
    <m/>
    <m/>
    <m/>
    <m/>
    <m/>
    <m/>
    <m/>
    <m/>
    <m/>
    <m/>
    <m/>
  </r>
  <r>
    <x v="6"/>
    <x v="2"/>
    <m/>
    <m/>
    <m/>
    <m/>
    <m/>
    <m/>
    <m/>
    <m/>
    <m/>
    <n v="4.4036235530951178"/>
    <m/>
    <m/>
    <m/>
    <m/>
    <m/>
    <m/>
    <m/>
    <m/>
    <m/>
    <m/>
    <m/>
    <m/>
    <m/>
  </r>
  <r>
    <x v="6"/>
    <x v="3"/>
    <m/>
    <m/>
    <m/>
    <m/>
    <m/>
    <m/>
    <m/>
    <m/>
    <m/>
    <n v="4.3197450092266392"/>
    <m/>
    <m/>
    <m/>
    <m/>
    <m/>
    <m/>
    <m/>
    <m/>
    <m/>
    <m/>
    <m/>
    <m/>
    <m/>
  </r>
  <r>
    <x v="6"/>
    <x v="4"/>
    <m/>
    <m/>
    <m/>
    <m/>
    <m/>
    <m/>
    <m/>
    <m/>
    <m/>
    <n v="4.2358664653581615"/>
    <m/>
    <m/>
    <m/>
    <m/>
    <m/>
    <m/>
    <m/>
    <m/>
    <m/>
    <m/>
    <m/>
    <m/>
    <m/>
  </r>
  <r>
    <x v="6"/>
    <x v="5"/>
    <m/>
    <m/>
    <m/>
    <m/>
    <m/>
    <m/>
    <m/>
    <m/>
    <m/>
    <n v="4.1100486495554431"/>
    <m/>
    <m/>
    <m/>
    <m/>
    <m/>
    <m/>
    <m/>
    <m/>
    <m/>
    <m/>
    <m/>
    <m/>
    <m/>
  </r>
  <r>
    <x v="6"/>
    <x v="6"/>
    <m/>
    <m/>
    <m/>
    <m/>
    <m/>
    <m/>
    <m/>
    <m/>
    <m/>
    <n v="3.9422915618184868"/>
    <m/>
    <m/>
    <m/>
    <m/>
    <m/>
    <m/>
    <m/>
    <m/>
    <m/>
    <m/>
    <m/>
    <m/>
    <m/>
  </r>
  <r>
    <x v="6"/>
    <x v="7"/>
    <m/>
    <m/>
    <m/>
    <m/>
    <m/>
    <m/>
    <m/>
    <m/>
    <m/>
    <n v="27.261827918434495"/>
    <m/>
    <m/>
    <m/>
    <m/>
    <m/>
    <m/>
    <m/>
    <m/>
    <m/>
    <m/>
    <m/>
    <m/>
    <m/>
  </r>
  <r>
    <x v="7"/>
    <x v="0"/>
    <m/>
    <m/>
    <m/>
    <m/>
    <m/>
    <m/>
    <m/>
    <m/>
    <m/>
    <n v="4.2181818181818178"/>
    <m/>
    <m/>
    <m/>
    <m/>
    <m/>
    <m/>
    <m/>
    <m/>
    <m/>
    <m/>
    <m/>
    <m/>
    <m/>
  </r>
  <r>
    <x v="7"/>
    <x v="1"/>
    <m/>
    <m/>
    <m/>
    <m/>
    <m/>
    <m/>
    <m/>
    <m/>
    <m/>
    <n v="11.494545454545454"/>
    <m/>
    <m/>
    <m/>
    <m/>
    <m/>
    <m/>
    <m/>
    <m/>
    <m/>
    <m/>
    <m/>
    <m/>
    <m/>
  </r>
  <r>
    <x v="7"/>
    <x v="2"/>
    <m/>
    <m/>
    <m/>
    <m/>
    <m/>
    <m/>
    <m/>
    <m/>
    <m/>
    <n v="11.072727272727274"/>
    <m/>
    <m/>
    <m/>
    <m/>
    <m/>
    <m/>
    <m/>
    <m/>
    <m/>
    <m/>
    <m/>
    <m/>
    <m/>
  </r>
  <r>
    <x v="7"/>
    <x v="3"/>
    <m/>
    <m/>
    <m/>
    <m/>
    <m/>
    <m/>
    <m/>
    <m/>
    <m/>
    <n v="10.861818181818181"/>
    <m/>
    <m/>
    <m/>
    <m/>
    <m/>
    <m/>
    <m/>
    <m/>
    <m/>
    <m/>
    <m/>
    <m/>
    <m/>
  </r>
  <r>
    <x v="7"/>
    <x v="4"/>
    <m/>
    <m/>
    <m/>
    <m/>
    <m/>
    <m/>
    <m/>
    <m/>
    <m/>
    <n v="10.65090909090909"/>
    <m/>
    <m/>
    <m/>
    <m/>
    <m/>
    <m/>
    <m/>
    <m/>
    <m/>
    <m/>
    <m/>
    <m/>
    <m/>
  </r>
  <r>
    <x v="7"/>
    <x v="5"/>
    <m/>
    <m/>
    <m/>
    <m/>
    <m/>
    <m/>
    <m/>
    <m/>
    <m/>
    <n v="10.334545454545454"/>
    <m/>
    <m/>
    <m/>
    <m/>
    <m/>
    <m/>
    <m/>
    <m/>
    <m/>
    <m/>
    <m/>
    <m/>
    <m/>
  </r>
  <r>
    <x v="7"/>
    <x v="6"/>
    <m/>
    <m/>
    <m/>
    <m/>
    <m/>
    <m/>
    <m/>
    <m/>
    <m/>
    <n v="9.9127272727272722"/>
    <m/>
    <m/>
    <m/>
    <m/>
    <m/>
    <m/>
    <m/>
    <m/>
    <m/>
    <m/>
    <m/>
    <m/>
    <m/>
  </r>
  <r>
    <x v="7"/>
    <x v="7"/>
    <m/>
    <m/>
    <m/>
    <m/>
    <m/>
    <m/>
    <m/>
    <m/>
    <m/>
    <n v="67.725298464768144"/>
    <m/>
    <m/>
    <m/>
    <m/>
    <m/>
    <m/>
    <m/>
    <m/>
    <m/>
    <m/>
    <m/>
    <m/>
    <m/>
  </r>
  <r>
    <x v="8"/>
    <x v="0"/>
    <m/>
    <m/>
    <m/>
    <m/>
    <m/>
    <m/>
    <m/>
    <m/>
    <m/>
    <n v="3.1763026409707353"/>
    <m/>
    <m/>
    <m/>
    <m/>
    <m/>
    <m/>
    <m/>
    <m/>
    <m/>
    <m/>
    <m/>
    <m/>
    <m/>
  </r>
  <r>
    <x v="8"/>
    <x v="1"/>
    <m/>
    <m/>
    <m/>
    <m/>
    <m/>
    <m/>
    <m/>
    <m/>
    <m/>
    <n v="8.6554246966452517"/>
    <m/>
    <m/>
    <m/>
    <m/>
    <m/>
    <m/>
    <m/>
    <m/>
    <m/>
    <m/>
    <m/>
    <m/>
    <m/>
  </r>
  <r>
    <x v="8"/>
    <x v="2"/>
    <m/>
    <m/>
    <m/>
    <m/>
    <m/>
    <m/>
    <m/>
    <m/>
    <m/>
    <n v="8.3377944325481792"/>
    <m/>
    <m/>
    <m/>
    <m/>
    <m/>
    <m/>
    <m/>
    <m/>
    <m/>
    <m/>
    <m/>
    <m/>
    <m/>
  </r>
  <r>
    <x v="8"/>
    <x v="3"/>
    <m/>
    <m/>
    <m/>
    <m/>
    <m/>
    <m/>
    <m/>
    <m/>
    <m/>
    <n v="8.1789793004996429"/>
    <m/>
    <m/>
    <m/>
    <m/>
    <m/>
    <m/>
    <m/>
    <m/>
    <m/>
    <m/>
    <m/>
    <m/>
    <m/>
  </r>
  <r>
    <x v="8"/>
    <x v="4"/>
    <m/>
    <m/>
    <m/>
    <m/>
    <m/>
    <m/>
    <m/>
    <m/>
    <m/>
    <n v="8.0201641684511067"/>
    <m/>
    <m/>
    <m/>
    <m/>
    <m/>
    <m/>
    <m/>
    <m/>
    <m/>
    <m/>
    <m/>
    <m/>
    <m/>
  </r>
  <r>
    <x v="8"/>
    <x v="5"/>
    <m/>
    <m/>
    <m/>
    <m/>
    <m/>
    <m/>
    <m/>
    <m/>
    <m/>
    <n v="7.7819414703783014"/>
    <m/>
    <m/>
    <m/>
    <m/>
    <m/>
    <m/>
    <m/>
    <m/>
    <m/>
    <m/>
    <m/>
    <m/>
    <m/>
  </r>
  <r>
    <x v="8"/>
    <x v="6"/>
    <m/>
    <m/>
    <m/>
    <m/>
    <m/>
    <m/>
    <m/>
    <m/>
    <m/>
    <n v="7.4643112062812271"/>
    <m/>
    <m/>
    <m/>
    <m/>
    <m/>
    <m/>
    <m/>
    <m/>
    <m/>
    <m/>
    <m/>
    <m/>
    <m/>
  </r>
  <r>
    <x v="8"/>
    <x v="7"/>
    <m/>
    <m/>
    <m/>
    <m/>
    <m/>
    <m/>
    <m/>
    <m/>
    <m/>
    <n v="31.06336758080586"/>
    <m/>
    <m/>
    <m/>
    <m/>
    <m/>
    <m/>
    <m/>
    <m/>
    <m/>
    <m/>
    <m/>
    <m/>
    <m/>
  </r>
  <r>
    <x v="9"/>
    <x v="0"/>
    <m/>
    <m/>
    <m/>
    <m/>
    <m/>
    <m/>
    <m/>
    <m/>
    <m/>
    <n v="3.2687280003505341"/>
    <m/>
    <m/>
    <m/>
    <m/>
    <m/>
    <m/>
    <m/>
    <m/>
    <m/>
    <m/>
    <m/>
    <m/>
    <m/>
  </r>
  <r>
    <x v="9"/>
    <x v="1"/>
    <m/>
    <m/>
    <m/>
    <m/>
    <m/>
    <m/>
    <m/>
    <m/>
    <m/>
    <n v="8.9072838009552058"/>
    <m/>
    <m/>
    <m/>
    <m/>
    <m/>
    <m/>
    <m/>
    <m/>
    <m/>
    <m/>
    <m/>
    <m/>
    <m/>
  </r>
  <r>
    <x v="9"/>
    <x v="2"/>
    <m/>
    <m/>
    <m/>
    <m/>
    <m/>
    <m/>
    <m/>
    <m/>
    <m/>
    <n v="8.5804110009201526"/>
    <m/>
    <m/>
    <m/>
    <m/>
    <m/>
    <m/>
    <m/>
    <m/>
    <m/>
    <m/>
    <m/>
    <m/>
    <m/>
  </r>
  <r>
    <x v="9"/>
    <x v="3"/>
    <m/>
    <m/>
    <m/>
    <m/>
    <m/>
    <m/>
    <m/>
    <m/>
    <m/>
    <n v="8.4169746009026252"/>
    <m/>
    <m/>
    <m/>
    <m/>
    <m/>
    <m/>
    <m/>
    <m/>
    <m/>
    <m/>
    <m/>
    <m/>
    <m/>
  </r>
  <r>
    <x v="9"/>
    <x v="4"/>
    <m/>
    <m/>
    <m/>
    <m/>
    <m/>
    <m/>
    <m/>
    <m/>
    <m/>
    <n v="8.2535382008850977"/>
    <m/>
    <m/>
    <m/>
    <m/>
    <m/>
    <m/>
    <m/>
    <m/>
    <m/>
    <m/>
    <m/>
    <m/>
    <m/>
  </r>
  <r>
    <x v="9"/>
    <x v="5"/>
    <m/>
    <m/>
    <m/>
    <m/>
    <m/>
    <m/>
    <m/>
    <m/>
    <m/>
    <n v="8.0083836008588065"/>
    <m/>
    <m/>
    <m/>
    <m/>
    <m/>
    <m/>
    <m/>
    <m/>
    <m/>
    <m/>
    <m/>
    <m/>
    <m/>
  </r>
  <r>
    <x v="9"/>
    <x v="6"/>
    <m/>
    <m/>
    <m/>
    <m/>
    <m/>
    <m/>
    <m/>
    <m/>
    <m/>
    <n v="7.6815108008237543"/>
    <m/>
    <m/>
    <m/>
    <m/>
    <m/>
    <m/>
    <m/>
    <m/>
    <m/>
    <m/>
    <m/>
    <m/>
    <m/>
  </r>
  <r>
    <x v="9"/>
    <x v="7"/>
    <m/>
    <m/>
    <m/>
    <m/>
    <m/>
    <m/>
    <m/>
    <m/>
    <m/>
    <n v="53.141113216069023"/>
    <m/>
    <m/>
    <m/>
    <m/>
    <m/>
    <m/>
    <m/>
    <m/>
    <m/>
    <m/>
    <m/>
    <m/>
    <m/>
  </r>
  <r>
    <x v="10"/>
    <x v="0"/>
    <m/>
    <m/>
    <m/>
    <m/>
    <m/>
    <m/>
    <m/>
    <m/>
    <m/>
    <n v="1.9603144171779139"/>
    <m/>
    <m/>
    <m/>
    <m/>
    <m/>
    <m/>
    <m/>
    <m/>
    <m/>
    <m/>
    <m/>
    <m/>
    <m/>
  </r>
  <r>
    <x v="10"/>
    <x v="1"/>
    <m/>
    <m/>
    <m/>
    <m/>
    <m/>
    <m/>
    <m/>
    <m/>
    <m/>
    <n v="5.3418567868098155"/>
    <m/>
    <m/>
    <m/>
    <m/>
    <m/>
    <m/>
    <m/>
    <m/>
    <m/>
    <m/>
    <m/>
    <m/>
    <m/>
  </r>
  <r>
    <x v="10"/>
    <x v="2"/>
    <m/>
    <m/>
    <m/>
    <m/>
    <m/>
    <m/>
    <m/>
    <m/>
    <m/>
    <n v="5.1458253450920246"/>
    <m/>
    <m/>
    <m/>
    <m/>
    <m/>
    <m/>
    <m/>
    <m/>
    <m/>
    <m/>
    <m/>
    <m/>
    <m/>
  </r>
  <r>
    <x v="10"/>
    <x v="3"/>
    <m/>
    <m/>
    <m/>
    <m/>
    <m/>
    <m/>
    <m/>
    <m/>
    <m/>
    <n v="5.0478096242331283"/>
    <m/>
    <m/>
    <m/>
    <m/>
    <m/>
    <m/>
    <m/>
    <m/>
    <m/>
    <m/>
    <m/>
    <m/>
    <m/>
  </r>
  <r>
    <x v="10"/>
    <x v="4"/>
    <m/>
    <m/>
    <m/>
    <m/>
    <m/>
    <m/>
    <m/>
    <m/>
    <m/>
    <n v="4.9497939033742329"/>
    <m/>
    <m/>
    <m/>
    <m/>
    <m/>
    <m/>
    <m/>
    <m/>
    <m/>
    <m/>
    <m/>
    <m/>
    <m/>
  </r>
  <r>
    <x v="10"/>
    <x v="5"/>
    <m/>
    <m/>
    <m/>
    <m/>
    <m/>
    <m/>
    <m/>
    <m/>
    <m/>
    <n v="4.8027703220858884"/>
    <m/>
    <m/>
    <m/>
    <m/>
    <m/>
    <m/>
    <m/>
    <m/>
    <m/>
    <m/>
    <m/>
    <m/>
    <m/>
  </r>
  <r>
    <x v="10"/>
    <x v="6"/>
    <m/>
    <m/>
    <m/>
    <m/>
    <m/>
    <m/>
    <m/>
    <m/>
    <m/>
    <n v="4.6067388803680984"/>
    <m/>
    <m/>
    <m/>
    <m/>
    <m/>
    <m/>
    <m/>
    <m/>
    <m/>
    <m/>
    <m/>
    <m/>
    <m/>
  </r>
  <r>
    <x v="10"/>
    <x v="7"/>
    <m/>
    <m/>
    <m/>
    <m/>
    <m/>
    <m/>
    <m/>
    <m/>
    <m/>
    <n v="31.862143396632298"/>
    <m/>
    <m/>
    <m/>
    <m/>
    <m/>
    <m/>
    <m/>
    <m/>
    <m/>
    <m/>
    <m/>
    <m/>
    <m/>
  </r>
  <r>
    <x v="11"/>
    <x v="0"/>
    <m/>
    <m/>
    <m/>
    <m/>
    <m/>
    <m/>
    <m/>
    <m/>
    <m/>
    <n v="10.614364003461205"/>
    <m/>
    <m/>
    <m/>
    <m/>
    <m/>
    <m/>
    <m/>
    <m/>
    <m/>
    <m/>
    <m/>
    <m/>
    <m/>
  </r>
  <r>
    <x v="11"/>
    <x v="1"/>
    <m/>
    <m/>
    <m/>
    <m/>
    <m/>
    <m/>
    <m/>
    <m/>
    <m/>
    <n v="28.924141909431782"/>
    <m/>
    <m/>
    <m/>
    <m/>
    <m/>
    <m/>
    <m/>
    <m/>
    <m/>
    <m/>
    <m/>
    <m/>
    <m/>
  </r>
  <r>
    <x v="11"/>
    <x v="2"/>
    <m/>
    <m/>
    <m/>
    <m/>
    <m/>
    <m/>
    <m/>
    <m/>
    <m/>
    <n v="27.862705509085668"/>
    <m/>
    <m/>
    <m/>
    <m/>
    <m/>
    <m/>
    <m/>
    <m/>
    <m/>
    <m/>
    <m/>
    <m/>
    <m/>
  </r>
  <r>
    <x v="11"/>
    <x v="3"/>
    <m/>
    <m/>
    <m/>
    <m/>
    <m/>
    <m/>
    <m/>
    <m/>
    <m/>
    <n v="27.331987308912602"/>
    <m/>
    <m/>
    <m/>
    <m/>
    <m/>
    <m/>
    <m/>
    <m/>
    <m/>
    <m/>
    <m/>
    <m/>
    <m/>
  </r>
  <r>
    <x v="11"/>
    <x v="4"/>
    <m/>
    <m/>
    <m/>
    <m/>
    <m/>
    <m/>
    <m/>
    <m/>
    <m/>
    <n v="26.801269108739543"/>
    <m/>
    <m/>
    <m/>
    <m/>
    <m/>
    <m/>
    <m/>
    <m/>
    <m/>
    <m/>
    <m/>
    <m/>
    <m/>
  </r>
  <r>
    <x v="11"/>
    <x v="5"/>
    <m/>
    <m/>
    <m/>
    <m/>
    <m/>
    <m/>
    <m/>
    <m/>
    <m/>
    <n v="26.005191808479957"/>
    <m/>
    <m/>
    <m/>
    <m/>
    <m/>
    <m/>
    <m/>
    <m/>
    <m/>
    <m/>
    <m/>
    <m/>
    <m/>
  </r>
  <r>
    <x v="11"/>
    <x v="6"/>
    <m/>
    <m/>
    <m/>
    <m/>
    <m/>
    <m/>
    <m/>
    <m/>
    <m/>
    <n v="24.943755408133832"/>
    <m/>
    <m/>
    <m/>
    <m/>
    <m/>
    <m/>
    <m/>
    <m/>
    <m/>
    <m/>
    <m/>
    <m/>
    <m/>
  </r>
  <r>
    <x v="11"/>
    <x v="7"/>
    <m/>
    <m/>
    <m/>
    <m/>
    <m/>
    <m/>
    <m/>
    <m/>
    <m/>
    <n v="172.42782463882136"/>
    <m/>
    <m/>
    <m/>
    <m/>
    <m/>
    <m/>
    <m/>
    <m/>
    <m/>
    <m/>
    <m/>
    <m/>
    <m/>
  </r>
  <r>
    <x v="12"/>
    <x v="0"/>
    <m/>
    <m/>
    <m/>
    <m/>
    <m/>
    <m/>
    <m/>
    <m/>
    <m/>
    <n v="9.0349504434011454"/>
    <m/>
    <m/>
    <m/>
    <m/>
    <m/>
    <m/>
    <m/>
    <m/>
    <m/>
    <m/>
    <m/>
    <m/>
    <m/>
  </r>
  <r>
    <x v="12"/>
    <x v="1"/>
    <m/>
    <m/>
    <m/>
    <m/>
    <m/>
    <m/>
    <m/>
    <m/>
    <m/>
    <n v="24.620239958268122"/>
    <m/>
    <m/>
    <m/>
    <m/>
    <m/>
    <m/>
    <m/>
    <m/>
    <m/>
    <m/>
    <m/>
    <m/>
    <m/>
  </r>
  <r>
    <x v="12"/>
    <x v="2"/>
    <m/>
    <m/>
    <m/>
    <m/>
    <m/>
    <m/>
    <m/>
    <m/>
    <m/>
    <n v="23.716744913928011"/>
    <m/>
    <m/>
    <m/>
    <m/>
    <m/>
    <m/>
    <m/>
    <m/>
    <m/>
    <m/>
    <m/>
    <m/>
    <m/>
  </r>
  <r>
    <x v="12"/>
    <x v="3"/>
    <m/>
    <m/>
    <m/>
    <m/>
    <m/>
    <m/>
    <m/>
    <m/>
    <m/>
    <n v="23.264997391757955"/>
    <m/>
    <m/>
    <m/>
    <m/>
    <m/>
    <m/>
    <m/>
    <m/>
    <m/>
    <m/>
    <m/>
    <m/>
    <m/>
  </r>
  <r>
    <x v="12"/>
    <x v="4"/>
    <m/>
    <m/>
    <m/>
    <m/>
    <m/>
    <m/>
    <m/>
    <m/>
    <m/>
    <n v="22.813249869587899"/>
    <m/>
    <m/>
    <m/>
    <m/>
    <m/>
    <m/>
    <m/>
    <m/>
    <m/>
    <m/>
    <m/>
    <m/>
    <m/>
  </r>
  <r>
    <x v="12"/>
    <x v="5"/>
    <m/>
    <m/>
    <m/>
    <m/>
    <m/>
    <m/>
    <m/>
    <m/>
    <m/>
    <n v="22.135628586332807"/>
    <m/>
    <m/>
    <m/>
    <m/>
    <m/>
    <m/>
    <m/>
    <m/>
    <m/>
    <m/>
    <m/>
    <m/>
    <m/>
  </r>
  <r>
    <x v="12"/>
    <x v="6"/>
    <m/>
    <m/>
    <m/>
    <m/>
    <m/>
    <m/>
    <m/>
    <m/>
    <m/>
    <n v="21.232133541992695"/>
    <m/>
    <m/>
    <m/>
    <m/>
    <m/>
    <m/>
    <m/>
    <m/>
    <m/>
    <m/>
    <m/>
    <m/>
    <m/>
  </r>
  <r>
    <x v="12"/>
    <x v="7"/>
    <m/>
    <m/>
    <m/>
    <m/>
    <m/>
    <m/>
    <m/>
    <m/>
    <m/>
    <n v="146.89453177522421"/>
    <m/>
    <m/>
    <m/>
    <m/>
    <m/>
    <m/>
    <m/>
    <m/>
    <m/>
    <m/>
    <m/>
    <m/>
    <m/>
  </r>
  <r>
    <x v="13"/>
    <x v="0"/>
    <m/>
    <m/>
    <m/>
    <m/>
    <m/>
    <m/>
    <m/>
    <m/>
    <m/>
    <n v="3.8116591928251125"/>
    <m/>
    <m/>
    <m/>
    <m/>
    <m/>
    <m/>
    <m/>
    <m/>
    <m/>
    <m/>
    <m/>
    <m/>
    <m/>
  </r>
  <r>
    <x v="13"/>
    <x v="1"/>
    <m/>
    <m/>
    <m/>
    <m/>
    <m/>
    <m/>
    <m/>
    <m/>
    <m/>
    <n v="10.38677130044843"/>
    <m/>
    <m/>
    <m/>
    <m/>
    <m/>
    <m/>
    <m/>
    <m/>
    <m/>
    <m/>
    <m/>
    <m/>
    <m/>
  </r>
  <r>
    <x v="13"/>
    <x v="2"/>
    <m/>
    <m/>
    <m/>
    <m/>
    <m/>
    <m/>
    <m/>
    <m/>
    <m/>
    <n v="10.005605381165919"/>
    <m/>
    <m/>
    <m/>
    <m/>
    <m/>
    <m/>
    <m/>
    <m/>
    <m/>
    <m/>
    <m/>
    <m/>
    <m/>
  </r>
  <r>
    <x v="13"/>
    <x v="3"/>
    <m/>
    <m/>
    <m/>
    <m/>
    <m/>
    <m/>
    <m/>
    <m/>
    <m/>
    <n v="9.8150224215246631"/>
    <m/>
    <m/>
    <m/>
    <m/>
    <m/>
    <m/>
    <m/>
    <m/>
    <m/>
    <m/>
    <m/>
    <m/>
    <m/>
  </r>
  <r>
    <x v="13"/>
    <x v="4"/>
    <m/>
    <m/>
    <m/>
    <m/>
    <m/>
    <m/>
    <m/>
    <m/>
    <m/>
    <n v="9.6244394618834086"/>
    <m/>
    <m/>
    <m/>
    <m/>
    <m/>
    <m/>
    <m/>
    <m/>
    <m/>
    <m/>
    <m/>
    <m/>
    <m/>
  </r>
  <r>
    <x v="13"/>
    <x v="5"/>
    <m/>
    <m/>
    <m/>
    <m/>
    <m/>
    <m/>
    <m/>
    <m/>
    <m/>
    <n v="9.3385650224215251"/>
    <m/>
    <m/>
    <m/>
    <m/>
    <m/>
    <m/>
    <m/>
    <m/>
    <m/>
    <m/>
    <m/>
    <m/>
    <m/>
  </r>
  <r>
    <x v="13"/>
    <x v="6"/>
    <m/>
    <m/>
    <m/>
    <m/>
    <m/>
    <m/>
    <m/>
    <m/>
    <m/>
    <n v="8.9573991031390143"/>
    <m/>
    <m/>
    <m/>
    <m/>
    <m/>
    <m/>
    <m/>
    <m/>
    <m/>
    <m/>
    <m/>
    <m/>
    <m/>
  </r>
  <r>
    <x v="13"/>
    <x v="7"/>
    <m/>
    <m/>
    <m/>
    <m/>
    <m/>
    <m/>
    <m/>
    <m/>
    <m/>
    <n v="61.980588119983487"/>
    <m/>
    <m/>
    <m/>
    <m/>
    <m/>
    <m/>
    <m/>
    <m/>
    <m/>
    <m/>
    <m/>
    <m/>
    <m/>
  </r>
  <r>
    <x v="14"/>
    <x v="0"/>
    <m/>
    <m/>
    <m/>
    <m/>
    <m/>
    <m/>
    <m/>
    <m/>
    <m/>
    <n v="3.6662088145020442"/>
    <m/>
    <m/>
    <m/>
    <m/>
    <m/>
    <m/>
    <m/>
    <m/>
    <m/>
    <m/>
    <m/>
    <m/>
    <m/>
  </r>
  <r>
    <x v="14"/>
    <x v="1"/>
    <m/>
    <m/>
    <m/>
    <m/>
    <m/>
    <m/>
    <m/>
    <m/>
    <m/>
    <n v="9.9904190195180682"/>
    <m/>
    <m/>
    <m/>
    <m/>
    <m/>
    <m/>
    <m/>
    <m/>
    <m/>
    <m/>
    <m/>
    <m/>
    <m/>
  </r>
  <r>
    <x v="14"/>
    <x v="2"/>
    <m/>
    <m/>
    <m/>
    <m/>
    <m/>
    <m/>
    <m/>
    <m/>
    <m/>
    <n v="9.6237981380678637"/>
    <m/>
    <m/>
    <m/>
    <m/>
    <m/>
    <m/>
    <m/>
    <m/>
    <m/>
    <m/>
    <m/>
    <m/>
    <m/>
  </r>
  <r>
    <x v="14"/>
    <x v="3"/>
    <m/>
    <m/>
    <m/>
    <m/>
    <m/>
    <m/>
    <m/>
    <m/>
    <m/>
    <n v="9.4404876973427623"/>
    <m/>
    <m/>
    <m/>
    <m/>
    <m/>
    <m/>
    <m/>
    <m/>
    <m/>
    <m/>
    <m/>
    <m/>
    <m/>
  </r>
  <r>
    <x v="14"/>
    <x v="4"/>
    <m/>
    <m/>
    <m/>
    <m/>
    <m/>
    <m/>
    <m/>
    <m/>
    <m/>
    <n v="9.2571772566176591"/>
    <m/>
    <m/>
    <m/>
    <m/>
    <m/>
    <m/>
    <m/>
    <m/>
    <m/>
    <m/>
    <m/>
    <m/>
    <m/>
  </r>
  <r>
    <x v="14"/>
    <x v="5"/>
    <m/>
    <m/>
    <m/>
    <m/>
    <m/>
    <m/>
    <m/>
    <m/>
    <m/>
    <n v="8.982211595530007"/>
    <m/>
    <m/>
    <m/>
    <m/>
    <m/>
    <m/>
    <m/>
    <m/>
    <m/>
    <m/>
    <m/>
    <m/>
    <m/>
  </r>
  <r>
    <x v="14"/>
    <x v="6"/>
    <m/>
    <m/>
    <m/>
    <m/>
    <m/>
    <m/>
    <m/>
    <m/>
    <m/>
    <n v="8.6155907140798007"/>
    <m/>
    <m/>
    <m/>
    <m/>
    <m/>
    <m/>
    <m/>
    <m/>
    <m/>
    <m/>
    <m/>
    <m/>
    <m/>
  </r>
  <r>
    <x v="14"/>
    <x v="7"/>
    <m/>
    <m/>
    <m/>
    <m/>
    <m/>
    <m/>
    <m/>
    <m/>
    <m/>
    <n v="59.554449852020653"/>
    <m/>
    <m/>
    <m/>
    <m/>
    <m/>
    <m/>
    <m/>
    <m/>
    <m/>
    <m/>
    <m/>
    <m/>
    <m/>
  </r>
  <r>
    <x v="15"/>
    <x v="0"/>
    <m/>
    <m/>
    <m/>
    <m/>
    <m/>
    <m/>
    <m/>
    <m/>
    <m/>
    <n v="7.5733333333333333"/>
    <m/>
    <m/>
    <m/>
    <m/>
    <m/>
    <m/>
    <m/>
    <m/>
    <m/>
    <m/>
    <m/>
    <m/>
    <m/>
  </r>
  <r>
    <x v="15"/>
    <x v="1"/>
    <m/>
    <m/>
    <m/>
    <m/>
    <m/>
    <m/>
    <m/>
    <m/>
    <m/>
    <n v="20.637333333333334"/>
    <m/>
    <m/>
    <m/>
    <m/>
    <m/>
    <m/>
    <m/>
    <m/>
    <m/>
    <m/>
    <m/>
    <m/>
    <m/>
  </r>
  <r>
    <x v="15"/>
    <x v="2"/>
    <m/>
    <m/>
    <m/>
    <m/>
    <m/>
    <m/>
    <m/>
    <m/>
    <m/>
    <n v="19.880000000000003"/>
    <m/>
    <m/>
    <m/>
    <m/>
    <m/>
    <m/>
    <m/>
    <m/>
    <m/>
    <m/>
    <m/>
    <m/>
    <m/>
  </r>
  <r>
    <x v="15"/>
    <x v="3"/>
    <m/>
    <m/>
    <m/>
    <m/>
    <m/>
    <m/>
    <m/>
    <m/>
    <m/>
    <n v="19.501333333333335"/>
    <m/>
    <m/>
    <m/>
    <m/>
    <m/>
    <m/>
    <m/>
    <m/>
    <m/>
    <m/>
    <m/>
    <m/>
    <m/>
  </r>
  <r>
    <x v="15"/>
    <x v="4"/>
    <m/>
    <m/>
    <m/>
    <m/>
    <m/>
    <m/>
    <m/>
    <m/>
    <m/>
    <n v="19.122666666666667"/>
    <m/>
    <m/>
    <m/>
    <m/>
    <m/>
    <m/>
    <m/>
    <m/>
    <m/>
    <m/>
    <m/>
    <m/>
    <m/>
  </r>
  <r>
    <x v="15"/>
    <x v="5"/>
    <m/>
    <m/>
    <m/>
    <m/>
    <m/>
    <m/>
    <m/>
    <m/>
    <m/>
    <n v="18.554666666666666"/>
    <m/>
    <m/>
    <m/>
    <m/>
    <m/>
    <m/>
    <m/>
    <m/>
    <m/>
    <m/>
    <m/>
    <m/>
    <m/>
  </r>
  <r>
    <x v="15"/>
    <x v="6"/>
    <m/>
    <m/>
    <m/>
    <m/>
    <m/>
    <m/>
    <m/>
    <m/>
    <m/>
    <n v="17.797333333333334"/>
    <m/>
    <m/>
    <m/>
    <m/>
    <m/>
    <m/>
    <m/>
    <m/>
    <m/>
    <m/>
    <m/>
    <m/>
    <m/>
  </r>
  <r>
    <x v="15"/>
    <x v="7"/>
    <m/>
    <m/>
    <m/>
    <m/>
    <m/>
    <m/>
    <m/>
    <m/>
    <m/>
    <n v="123.64707423369713"/>
    <m/>
    <m/>
    <m/>
    <m/>
    <m/>
    <m/>
    <m/>
    <m/>
    <m/>
    <m/>
    <m/>
    <m/>
    <m/>
  </r>
  <r>
    <x v="16"/>
    <x v="0"/>
    <m/>
    <m/>
    <m/>
    <m/>
    <m/>
    <m/>
    <m/>
    <m/>
    <m/>
    <n v="7.0686070686070694"/>
    <m/>
    <m/>
    <m/>
    <m/>
    <m/>
    <m/>
    <m/>
    <m/>
    <m/>
    <m/>
    <m/>
    <m/>
    <m/>
  </r>
  <r>
    <x v="16"/>
    <x v="1"/>
    <m/>
    <m/>
    <m/>
    <m/>
    <m/>
    <m/>
    <m/>
    <m/>
    <m/>
    <n v="19.261954261954262"/>
    <m/>
    <m/>
    <m/>
    <m/>
    <m/>
    <m/>
    <m/>
    <m/>
    <m/>
    <m/>
    <m/>
    <m/>
    <m/>
  </r>
  <r>
    <x v="16"/>
    <x v="2"/>
    <m/>
    <m/>
    <m/>
    <m/>
    <m/>
    <m/>
    <m/>
    <m/>
    <m/>
    <n v="18.555093555093556"/>
    <m/>
    <m/>
    <m/>
    <m/>
    <m/>
    <m/>
    <m/>
    <m/>
    <m/>
    <m/>
    <m/>
    <m/>
    <m/>
  </r>
  <r>
    <x v="16"/>
    <x v="3"/>
    <m/>
    <m/>
    <m/>
    <m/>
    <m/>
    <m/>
    <m/>
    <m/>
    <m/>
    <n v="18.201663201663202"/>
    <m/>
    <m/>
    <m/>
    <m/>
    <m/>
    <m/>
    <m/>
    <m/>
    <m/>
    <m/>
    <m/>
    <m/>
    <m/>
  </r>
  <r>
    <x v="16"/>
    <x v="4"/>
    <m/>
    <m/>
    <m/>
    <m/>
    <m/>
    <m/>
    <m/>
    <m/>
    <m/>
    <n v="17.848232848232851"/>
    <m/>
    <m/>
    <m/>
    <m/>
    <m/>
    <m/>
    <m/>
    <m/>
    <m/>
    <m/>
    <m/>
    <m/>
    <m/>
  </r>
  <r>
    <x v="16"/>
    <x v="5"/>
    <m/>
    <m/>
    <m/>
    <m/>
    <m/>
    <m/>
    <m/>
    <m/>
    <m/>
    <n v="17.318087318087318"/>
    <m/>
    <m/>
    <m/>
    <m/>
    <m/>
    <m/>
    <m/>
    <m/>
    <m/>
    <m/>
    <m/>
    <m/>
    <m/>
  </r>
  <r>
    <x v="16"/>
    <x v="6"/>
    <m/>
    <m/>
    <m/>
    <m/>
    <m/>
    <m/>
    <m/>
    <m/>
    <m/>
    <n v="16.611226611226613"/>
    <m/>
    <m/>
    <m/>
    <m/>
    <m/>
    <m/>
    <m/>
    <m/>
    <m/>
    <m/>
    <m/>
    <m/>
    <m/>
  </r>
  <r>
    <x v="16"/>
    <x v="7"/>
    <m/>
    <m/>
    <m/>
    <m/>
    <m/>
    <m/>
    <m/>
    <m/>
    <m/>
    <n v="115.06780436535043"/>
    <m/>
    <m/>
    <m/>
    <m/>
    <m/>
    <m/>
    <m/>
    <m/>
    <m/>
    <m/>
    <m/>
    <m/>
    <m/>
  </r>
  <r>
    <x v="17"/>
    <x v="0"/>
    <m/>
    <m/>
    <m/>
    <m/>
    <m/>
    <m/>
    <m/>
    <m/>
    <m/>
    <n v="3.02571860816944"/>
    <m/>
    <m/>
    <m/>
    <m/>
    <m/>
    <m/>
    <m/>
    <m/>
    <m/>
    <m/>
    <m/>
    <m/>
    <m/>
  </r>
  <r>
    <x v="17"/>
    <x v="1"/>
    <m/>
    <m/>
    <m/>
    <m/>
    <m/>
    <m/>
    <m/>
    <m/>
    <m/>
    <n v="8.2450832072617253"/>
    <m/>
    <m/>
    <m/>
    <m/>
    <m/>
    <m/>
    <m/>
    <m/>
    <m/>
    <m/>
    <m/>
    <m/>
    <m/>
  </r>
  <r>
    <x v="17"/>
    <x v="2"/>
    <m/>
    <m/>
    <m/>
    <m/>
    <m/>
    <m/>
    <m/>
    <m/>
    <m/>
    <n v="7.9425113464447801"/>
    <m/>
    <m/>
    <m/>
    <m/>
    <m/>
    <m/>
    <m/>
    <m/>
    <m/>
    <m/>
    <m/>
    <m/>
    <m/>
  </r>
  <r>
    <x v="17"/>
    <x v="3"/>
    <m/>
    <m/>
    <m/>
    <m/>
    <m/>
    <m/>
    <m/>
    <m/>
    <m/>
    <n v="7.7912254160363084"/>
    <m/>
    <m/>
    <m/>
    <m/>
    <m/>
    <m/>
    <m/>
    <m/>
    <m/>
    <m/>
    <m/>
    <m/>
    <m/>
  </r>
  <r>
    <x v="17"/>
    <x v="4"/>
    <m/>
    <m/>
    <m/>
    <m/>
    <m/>
    <m/>
    <m/>
    <m/>
    <m/>
    <n v="7.6399394856278358"/>
    <m/>
    <m/>
    <m/>
    <m/>
    <m/>
    <m/>
    <m/>
    <m/>
    <m/>
    <m/>
    <m/>
    <m/>
    <m/>
  </r>
  <r>
    <x v="17"/>
    <x v="5"/>
    <m/>
    <m/>
    <m/>
    <m/>
    <m/>
    <m/>
    <m/>
    <m/>
    <m/>
    <n v="7.4130105900151291"/>
    <m/>
    <m/>
    <m/>
    <m/>
    <m/>
    <m/>
    <m/>
    <m/>
    <m/>
    <m/>
    <m/>
    <m/>
    <m/>
  </r>
  <r>
    <x v="17"/>
    <x v="6"/>
    <m/>
    <m/>
    <m/>
    <m/>
    <m/>
    <m/>
    <m/>
    <m/>
    <m/>
    <n v="7.1104387291981848"/>
    <m/>
    <m/>
    <m/>
    <m/>
    <m/>
    <m/>
    <m/>
    <m/>
    <m/>
    <m/>
    <m/>
    <m/>
    <m/>
  </r>
  <r>
    <x v="17"/>
    <x v="7"/>
    <m/>
    <m/>
    <m/>
    <m/>
    <m/>
    <m/>
    <m/>
    <m/>
    <m/>
    <n v="50.005680467923241"/>
    <m/>
    <m/>
    <m/>
    <m/>
    <m/>
    <m/>
    <m/>
    <m/>
    <m/>
    <m/>
    <m/>
    <m/>
    <m/>
  </r>
  <r>
    <x v="18"/>
    <x v="0"/>
    <m/>
    <m/>
    <m/>
    <m/>
    <m/>
    <m/>
    <m/>
    <m/>
    <m/>
    <n v="2.4866785079928952"/>
    <m/>
    <m/>
    <m/>
    <m/>
    <m/>
    <m/>
    <m/>
    <m/>
    <m/>
    <m/>
    <m/>
    <m/>
    <m/>
  </r>
  <r>
    <x v="18"/>
    <x v="1"/>
    <m/>
    <m/>
    <m/>
    <m/>
    <m/>
    <m/>
    <m/>
    <m/>
    <m/>
    <n v="6.7761989342806404"/>
    <m/>
    <m/>
    <m/>
    <m/>
    <m/>
    <m/>
    <m/>
    <m/>
    <m/>
    <m/>
    <m/>
    <m/>
    <m/>
  </r>
  <r>
    <x v="18"/>
    <x v="2"/>
    <m/>
    <m/>
    <m/>
    <m/>
    <m/>
    <m/>
    <m/>
    <m/>
    <m/>
    <n v="6.5275310834813505"/>
    <m/>
    <m/>
    <m/>
    <m/>
    <m/>
    <m/>
    <m/>
    <m/>
    <m/>
    <m/>
    <m/>
    <m/>
    <m/>
  </r>
  <r>
    <x v="18"/>
    <x v="3"/>
    <m/>
    <m/>
    <m/>
    <m/>
    <m/>
    <m/>
    <m/>
    <m/>
    <m/>
    <n v="6.4031971580817055"/>
    <m/>
    <m/>
    <m/>
    <m/>
    <m/>
    <m/>
    <m/>
    <m/>
    <m/>
    <m/>
    <m/>
    <m/>
    <m/>
  </r>
  <r>
    <x v="18"/>
    <x v="4"/>
    <m/>
    <m/>
    <m/>
    <m/>
    <m/>
    <m/>
    <m/>
    <m/>
    <m/>
    <n v="6.2788632326820615"/>
    <m/>
    <m/>
    <m/>
    <m/>
    <m/>
    <m/>
    <m/>
    <m/>
    <m/>
    <m/>
    <m/>
    <m/>
    <m/>
  </r>
  <r>
    <x v="18"/>
    <x v="5"/>
    <m/>
    <m/>
    <m/>
    <m/>
    <m/>
    <m/>
    <m/>
    <m/>
    <m/>
    <n v="6.0923623445825932"/>
    <m/>
    <m/>
    <m/>
    <m/>
    <m/>
    <m/>
    <m/>
    <m/>
    <m/>
    <m/>
    <m/>
    <m/>
    <m/>
  </r>
  <r>
    <x v="18"/>
    <x v="6"/>
    <m/>
    <m/>
    <m/>
    <m/>
    <m/>
    <m/>
    <m/>
    <m/>
    <m/>
    <n v="5.8436944937833042"/>
    <m/>
    <m/>
    <m/>
    <m/>
    <m/>
    <m/>
    <m/>
    <m/>
    <m/>
    <m/>
    <m/>
    <m/>
    <m/>
  </r>
  <r>
    <x v="18"/>
    <x v="7"/>
    <m/>
    <m/>
    <m/>
    <m/>
    <m/>
    <m/>
    <m/>
    <m/>
    <m/>
    <n v="40.40852575488455"/>
    <m/>
    <m/>
    <m/>
    <m/>
    <m/>
    <m/>
    <m/>
    <m/>
    <m/>
    <m/>
    <m/>
    <m/>
    <m/>
  </r>
  <r>
    <x v="19"/>
    <x v="0"/>
    <m/>
    <m/>
    <m/>
    <m/>
    <m/>
    <m/>
    <m/>
    <m/>
    <m/>
    <n v="1.237251295769938"/>
    <m/>
    <m/>
    <m/>
    <m/>
    <m/>
    <m/>
    <m/>
    <m/>
    <m/>
    <m/>
    <m/>
    <m/>
    <m/>
  </r>
  <r>
    <x v="19"/>
    <x v="1"/>
    <m/>
    <m/>
    <m/>
    <m/>
    <m/>
    <m/>
    <m/>
    <m/>
    <m/>
    <n v="3.3715097809730814"/>
    <m/>
    <m/>
    <m/>
    <m/>
    <m/>
    <m/>
    <m/>
    <m/>
    <m/>
    <m/>
    <m/>
    <m/>
    <m/>
  </r>
  <r>
    <x v="19"/>
    <x v="2"/>
    <m/>
    <m/>
    <m/>
    <m/>
    <m/>
    <m/>
    <m/>
    <m/>
    <m/>
    <n v="3.2477846513960875"/>
    <m/>
    <m/>
    <m/>
    <m/>
    <m/>
    <m/>
    <m/>
    <m/>
    <m/>
    <m/>
    <m/>
    <m/>
    <m/>
  </r>
  <r>
    <x v="19"/>
    <x v="3"/>
    <m/>
    <m/>
    <m/>
    <m/>
    <m/>
    <m/>
    <m/>
    <m/>
    <m/>
    <n v="3.1859220866075906"/>
    <m/>
    <m/>
    <m/>
    <m/>
    <m/>
    <m/>
    <m/>
    <m/>
    <m/>
    <m/>
    <m/>
    <m/>
    <m/>
  </r>
  <r>
    <x v="19"/>
    <x v="4"/>
    <m/>
    <m/>
    <m/>
    <m/>
    <m/>
    <m/>
    <m/>
    <m/>
    <m/>
    <n v="3.1240595218190932"/>
    <m/>
    <m/>
    <m/>
    <m/>
    <m/>
    <m/>
    <m/>
    <m/>
    <m/>
    <m/>
    <m/>
    <m/>
    <m/>
  </r>
  <r>
    <x v="19"/>
    <x v="5"/>
    <m/>
    <m/>
    <m/>
    <m/>
    <m/>
    <m/>
    <m/>
    <m/>
    <m/>
    <n v="3.0312656746363484"/>
    <m/>
    <m/>
    <m/>
    <m/>
    <m/>
    <m/>
    <m/>
    <m/>
    <m/>
    <m/>
    <m/>
    <m/>
    <m/>
  </r>
  <r>
    <x v="19"/>
    <x v="6"/>
    <m/>
    <m/>
    <m/>
    <m/>
    <m/>
    <m/>
    <m/>
    <m/>
    <m/>
    <n v="2.9075405450593546"/>
    <m/>
    <m/>
    <m/>
    <m/>
    <m/>
    <m/>
    <m/>
    <m/>
    <m/>
    <m/>
    <m/>
    <m/>
    <m/>
  </r>
  <r>
    <x v="19"/>
    <x v="7"/>
    <m/>
    <m/>
    <m/>
    <m/>
    <m/>
    <m/>
    <m/>
    <m/>
    <m/>
    <n v="20.077947527533418"/>
    <m/>
    <m/>
    <m/>
    <m/>
    <m/>
    <m/>
    <m/>
    <m/>
    <m/>
    <m/>
    <m/>
    <m/>
    <m/>
  </r>
  <r>
    <x v="20"/>
    <x v="0"/>
    <m/>
    <m/>
    <m/>
    <m/>
    <m/>
    <m/>
    <m/>
    <m/>
    <m/>
    <n v="9.6119712733131255"/>
    <m/>
    <m/>
    <m/>
    <m/>
    <m/>
    <m/>
    <m/>
    <m/>
    <m/>
    <m/>
    <m/>
    <m/>
    <m/>
  </r>
  <r>
    <x v="20"/>
    <x v="1"/>
    <m/>
    <m/>
    <m/>
    <m/>
    <m/>
    <m/>
    <m/>
    <m/>
    <m/>
    <n v="26.192621719778263"/>
    <m/>
    <m/>
    <m/>
    <m/>
    <m/>
    <m/>
    <m/>
    <m/>
    <m/>
    <m/>
    <m/>
    <m/>
    <m/>
  </r>
  <r>
    <x v="20"/>
    <x v="2"/>
    <m/>
    <m/>
    <m/>
    <m/>
    <m/>
    <m/>
    <m/>
    <m/>
    <m/>
    <n v="25.231424592446956"/>
    <m/>
    <m/>
    <m/>
    <m/>
    <m/>
    <m/>
    <m/>
    <m/>
    <m/>
    <m/>
    <m/>
    <m/>
    <m/>
  </r>
  <r>
    <x v="20"/>
    <x v="3"/>
    <m/>
    <m/>
    <m/>
    <m/>
    <m/>
    <m/>
    <m/>
    <m/>
    <m/>
    <n v="24.750826028781297"/>
    <m/>
    <m/>
    <m/>
    <m/>
    <m/>
    <m/>
    <m/>
    <m/>
    <m/>
    <m/>
    <m/>
    <m/>
    <m/>
  </r>
  <r>
    <x v="20"/>
    <x v="4"/>
    <m/>
    <m/>
    <m/>
    <m/>
    <m/>
    <m/>
    <m/>
    <m/>
    <m/>
    <n v="24.270227465115642"/>
    <m/>
    <m/>
    <m/>
    <m/>
    <m/>
    <m/>
    <m/>
    <m/>
    <m/>
    <m/>
    <m/>
    <m/>
    <m/>
  </r>
  <r>
    <x v="20"/>
    <x v="5"/>
    <m/>
    <m/>
    <m/>
    <m/>
    <m/>
    <m/>
    <m/>
    <m/>
    <m/>
    <n v="23.549329619617154"/>
    <m/>
    <m/>
    <m/>
    <m/>
    <m/>
    <m/>
    <m/>
    <m/>
    <m/>
    <m/>
    <m/>
    <m/>
    <m/>
  </r>
  <r>
    <x v="20"/>
    <x v="6"/>
    <m/>
    <m/>
    <m/>
    <m/>
    <m/>
    <m/>
    <m/>
    <m/>
    <m/>
    <n v="22.58813249228584"/>
    <m/>
    <m/>
    <m/>
    <m/>
    <m/>
    <m/>
    <m/>
    <m/>
    <m/>
    <m/>
    <m/>
    <m/>
    <m/>
  </r>
  <r>
    <x v="20"/>
    <x v="7"/>
    <m/>
    <m/>
    <m/>
    <m/>
    <m/>
    <m/>
    <m/>
    <m/>
    <m/>
    <n v="156.18124089518346"/>
    <m/>
    <m/>
    <m/>
    <m/>
    <m/>
    <m/>
    <m/>
    <m/>
    <m/>
    <m/>
    <m/>
    <m/>
    <m/>
  </r>
  <r>
    <x v="21"/>
    <x v="0"/>
    <m/>
    <m/>
    <m/>
    <m/>
    <m/>
    <m/>
    <m/>
    <m/>
    <m/>
    <n v="3.5338345864661656"/>
    <m/>
    <m/>
    <m/>
    <m/>
    <m/>
    <m/>
    <m/>
    <m/>
    <m/>
    <m/>
    <m/>
    <m/>
    <m/>
  </r>
  <r>
    <x v="21"/>
    <x v="1"/>
    <m/>
    <m/>
    <m/>
    <m/>
    <m/>
    <m/>
    <m/>
    <m/>
    <m/>
    <n v="9.6296992481203016"/>
    <m/>
    <m/>
    <m/>
    <m/>
    <m/>
    <m/>
    <m/>
    <m/>
    <m/>
    <m/>
    <m/>
    <m/>
    <m/>
  </r>
  <r>
    <x v="21"/>
    <x v="2"/>
    <m/>
    <m/>
    <m/>
    <m/>
    <m/>
    <m/>
    <m/>
    <m/>
    <m/>
    <n v="9.2763157894736832"/>
    <m/>
    <m/>
    <m/>
    <m/>
    <m/>
    <m/>
    <m/>
    <m/>
    <m/>
    <m/>
    <m/>
    <m/>
    <m/>
  </r>
  <r>
    <x v="21"/>
    <x v="3"/>
    <m/>
    <m/>
    <m/>
    <m/>
    <m/>
    <m/>
    <m/>
    <m/>
    <m/>
    <n v="9.0996240601503739"/>
    <m/>
    <m/>
    <m/>
    <m/>
    <m/>
    <m/>
    <m/>
    <m/>
    <m/>
    <m/>
    <m/>
    <m/>
    <m/>
  </r>
  <r>
    <x v="21"/>
    <x v="4"/>
    <m/>
    <m/>
    <m/>
    <m/>
    <m/>
    <m/>
    <m/>
    <m/>
    <m/>
    <n v="8.9229323308270665"/>
    <m/>
    <m/>
    <m/>
    <m/>
    <m/>
    <m/>
    <m/>
    <m/>
    <m/>
    <m/>
    <m/>
    <m/>
    <m/>
  </r>
  <r>
    <x v="21"/>
    <x v="5"/>
    <m/>
    <m/>
    <m/>
    <m/>
    <m/>
    <m/>
    <m/>
    <m/>
    <m/>
    <n v="8.6578947368421044"/>
    <m/>
    <m/>
    <m/>
    <m/>
    <m/>
    <m/>
    <m/>
    <m/>
    <m/>
    <m/>
    <m/>
    <m/>
    <m/>
  </r>
  <r>
    <x v="21"/>
    <x v="6"/>
    <m/>
    <m/>
    <m/>
    <m/>
    <m/>
    <m/>
    <m/>
    <m/>
    <m/>
    <n v="8.3045112781954877"/>
    <m/>
    <m/>
    <m/>
    <m/>
    <m/>
    <m/>
    <m/>
    <m/>
    <m/>
    <m/>
    <m/>
    <m/>
    <m/>
  </r>
  <r>
    <x v="21"/>
    <x v="7"/>
    <m/>
    <m/>
    <m/>
    <m/>
    <m/>
    <m/>
    <m/>
    <m/>
    <m/>
    <n v="57.479042168147103"/>
    <m/>
    <m/>
    <m/>
    <m/>
    <m/>
    <m/>
    <m/>
    <m/>
    <m/>
    <m/>
    <m/>
    <m/>
    <m/>
  </r>
  <r>
    <x v="22"/>
    <x v="0"/>
    <m/>
    <m/>
    <m/>
    <m/>
    <m/>
    <m/>
    <m/>
    <m/>
    <m/>
    <n v="9.7021187329557375"/>
    <m/>
    <m/>
    <m/>
    <m/>
    <m/>
    <m/>
    <m/>
    <m/>
    <m/>
    <m/>
    <m/>
    <m/>
    <m/>
  </r>
  <r>
    <x v="22"/>
    <x v="1"/>
    <m/>
    <m/>
    <m/>
    <m/>
    <m/>
    <m/>
    <m/>
    <m/>
    <m/>
    <n v="26.438273547304384"/>
    <m/>
    <m/>
    <m/>
    <m/>
    <m/>
    <m/>
    <m/>
    <m/>
    <m/>
    <m/>
    <m/>
    <m/>
    <m/>
  </r>
  <r>
    <x v="22"/>
    <x v="2"/>
    <m/>
    <m/>
    <m/>
    <m/>
    <m/>
    <m/>
    <m/>
    <m/>
    <m/>
    <n v="25.468061674008808"/>
    <m/>
    <m/>
    <m/>
    <m/>
    <m/>
    <m/>
    <m/>
    <m/>
    <m/>
    <m/>
    <m/>
    <m/>
    <m/>
  </r>
  <r>
    <x v="22"/>
    <x v="3"/>
    <m/>
    <m/>
    <m/>
    <m/>
    <m/>
    <m/>
    <m/>
    <m/>
    <m/>
    <n v="24.982955737361021"/>
    <m/>
    <m/>
    <m/>
    <m/>
    <m/>
    <m/>
    <m/>
    <m/>
    <m/>
    <m/>
    <m/>
    <m/>
    <m/>
  </r>
  <r>
    <x v="22"/>
    <x v="4"/>
    <m/>
    <m/>
    <m/>
    <m/>
    <m/>
    <m/>
    <m/>
    <m/>
    <m/>
    <n v="24.497849800713237"/>
    <m/>
    <m/>
    <m/>
    <m/>
    <m/>
    <m/>
    <m/>
    <m/>
    <m/>
    <m/>
    <m/>
    <m/>
    <m/>
  </r>
  <r>
    <x v="22"/>
    <x v="5"/>
    <m/>
    <m/>
    <m/>
    <m/>
    <m/>
    <m/>
    <m/>
    <m/>
    <m/>
    <n v="23.770190895741553"/>
    <m/>
    <m/>
    <m/>
    <m/>
    <m/>
    <m/>
    <m/>
    <m/>
    <m/>
    <m/>
    <m/>
    <m/>
    <m/>
  </r>
  <r>
    <x v="22"/>
    <x v="6"/>
    <m/>
    <m/>
    <m/>
    <m/>
    <m/>
    <m/>
    <m/>
    <m/>
    <m/>
    <n v="22.799979022445982"/>
    <m/>
    <m/>
    <m/>
    <m/>
    <m/>
    <m/>
    <m/>
    <m/>
    <m/>
    <m/>
    <m/>
    <m/>
    <m/>
  </r>
  <r>
    <x v="22"/>
    <x v="7"/>
    <m/>
    <m/>
    <m/>
    <m/>
    <m/>
    <m/>
    <m/>
    <m/>
    <m/>
    <n v="157.66407828031072"/>
    <m/>
    <m/>
    <m/>
    <m/>
    <m/>
    <m/>
    <m/>
    <m/>
    <m/>
    <m/>
    <m/>
    <m/>
    <m/>
  </r>
  <r>
    <x v="23"/>
    <x v="0"/>
    <m/>
    <m/>
    <m/>
    <m/>
    <m/>
    <m/>
    <m/>
    <m/>
    <m/>
    <n v="8.6635944700460836"/>
    <m/>
    <m/>
    <m/>
    <m/>
    <m/>
    <m/>
    <m/>
    <m/>
    <m/>
    <m/>
    <m/>
    <m/>
    <m/>
  </r>
  <r>
    <x v="23"/>
    <x v="1"/>
    <m/>
    <m/>
    <m/>
    <m/>
    <m/>
    <m/>
    <m/>
    <m/>
    <m/>
    <n v="23.608294930875573"/>
    <m/>
    <m/>
    <m/>
    <m/>
    <m/>
    <m/>
    <m/>
    <m/>
    <m/>
    <m/>
    <m/>
    <m/>
    <m/>
  </r>
  <r>
    <x v="23"/>
    <x v="2"/>
    <m/>
    <m/>
    <m/>
    <m/>
    <m/>
    <m/>
    <m/>
    <m/>
    <m/>
    <n v="22.741935483870968"/>
    <m/>
    <m/>
    <m/>
    <m/>
    <m/>
    <m/>
    <m/>
    <m/>
    <m/>
    <m/>
    <m/>
    <m/>
    <m/>
  </r>
  <r>
    <x v="23"/>
    <x v="3"/>
    <m/>
    <m/>
    <m/>
    <m/>
    <m/>
    <m/>
    <m/>
    <m/>
    <m/>
    <n v="22.308755760368665"/>
    <m/>
    <m/>
    <m/>
    <m/>
    <m/>
    <m/>
    <m/>
    <m/>
    <m/>
    <m/>
    <m/>
    <m/>
    <m/>
  </r>
  <r>
    <x v="23"/>
    <x v="4"/>
    <m/>
    <m/>
    <m/>
    <m/>
    <m/>
    <m/>
    <m/>
    <m/>
    <m/>
    <n v="21.875576036866356"/>
    <m/>
    <m/>
    <m/>
    <m/>
    <m/>
    <m/>
    <m/>
    <m/>
    <m/>
    <m/>
    <m/>
    <m/>
    <m/>
  </r>
  <r>
    <x v="23"/>
    <x v="5"/>
    <m/>
    <m/>
    <m/>
    <m/>
    <m/>
    <m/>
    <m/>
    <m/>
    <m/>
    <n v="21.225806451612904"/>
    <m/>
    <m/>
    <m/>
    <m/>
    <m/>
    <m/>
    <m/>
    <m/>
    <m/>
    <m/>
    <m/>
    <m/>
    <m/>
  </r>
  <r>
    <x v="23"/>
    <x v="6"/>
    <m/>
    <m/>
    <m/>
    <m/>
    <m/>
    <m/>
    <m/>
    <m/>
    <m/>
    <n v="20.359447004608299"/>
    <m/>
    <m/>
    <m/>
    <m/>
    <m/>
    <m/>
    <m/>
    <m/>
    <m/>
    <m/>
    <m/>
    <m/>
    <m/>
  </r>
  <r>
    <x v="23"/>
    <x v="7"/>
    <m/>
    <m/>
    <m/>
    <m/>
    <m/>
    <m/>
    <m/>
    <m/>
    <m/>
    <n v="141.06479948121074"/>
    <m/>
    <m/>
    <m/>
    <m/>
    <m/>
    <m/>
    <m/>
    <m/>
    <m/>
    <m/>
    <m/>
    <m/>
    <m/>
  </r>
  <r>
    <x v="24"/>
    <x v="0"/>
    <m/>
    <m/>
    <m/>
    <m/>
    <m/>
    <m/>
    <m/>
    <m/>
    <m/>
    <n v="5.1789077212806021"/>
    <m/>
    <m/>
    <m/>
    <m/>
    <m/>
    <m/>
    <m/>
    <m/>
    <m/>
    <m/>
    <m/>
    <m/>
    <m/>
  </r>
  <r>
    <x v="24"/>
    <x v="1"/>
    <m/>
    <m/>
    <m/>
    <m/>
    <m/>
    <m/>
    <m/>
    <m/>
    <m/>
    <n v="14.112523540489638"/>
    <m/>
    <m/>
    <m/>
    <m/>
    <m/>
    <m/>
    <m/>
    <m/>
    <m/>
    <m/>
    <m/>
    <m/>
    <m/>
  </r>
  <r>
    <x v="24"/>
    <x v="2"/>
    <m/>
    <m/>
    <m/>
    <m/>
    <m/>
    <m/>
    <m/>
    <m/>
    <m/>
    <n v="13.594632768361581"/>
    <m/>
    <m/>
    <m/>
    <m/>
    <m/>
    <m/>
    <m/>
    <m/>
    <m/>
    <m/>
    <m/>
    <m/>
    <m/>
  </r>
  <r>
    <x v="24"/>
    <x v="3"/>
    <m/>
    <m/>
    <m/>
    <m/>
    <m/>
    <m/>
    <m/>
    <m/>
    <m/>
    <n v="13.33568738229755"/>
    <m/>
    <m/>
    <m/>
    <m/>
    <m/>
    <m/>
    <m/>
    <m/>
    <m/>
    <m/>
    <m/>
    <m/>
    <m/>
  </r>
  <r>
    <x v="24"/>
    <x v="4"/>
    <m/>
    <m/>
    <m/>
    <m/>
    <m/>
    <m/>
    <m/>
    <m/>
    <m/>
    <n v="13.076741996233521"/>
    <m/>
    <m/>
    <m/>
    <m/>
    <m/>
    <m/>
    <m/>
    <m/>
    <m/>
    <m/>
    <m/>
    <m/>
    <m/>
  </r>
  <r>
    <x v="24"/>
    <x v="5"/>
    <m/>
    <m/>
    <m/>
    <m/>
    <m/>
    <m/>
    <m/>
    <m/>
    <m/>
    <n v="12.688323917137474"/>
    <m/>
    <m/>
    <m/>
    <m/>
    <m/>
    <m/>
    <m/>
    <m/>
    <m/>
    <m/>
    <m/>
    <m/>
    <m/>
  </r>
  <r>
    <x v="24"/>
    <x v="6"/>
    <m/>
    <m/>
    <m/>
    <m/>
    <m/>
    <m/>
    <m/>
    <m/>
    <m/>
    <n v="12.170433145009413"/>
    <m/>
    <m/>
    <m/>
    <m/>
    <m/>
    <m/>
    <m/>
    <m/>
    <m/>
    <m/>
    <m/>
    <m/>
    <m/>
  </r>
  <r>
    <x v="24"/>
    <x v="7"/>
    <m/>
    <m/>
    <m/>
    <m/>
    <m/>
    <m/>
    <m/>
    <m/>
    <m/>
    <n v="84.215274843098612"/>
    <m/>
    <m/>
    <m/>
    <m/>
    <m/>
    <m/>
    <m/>
    <m/>
    <m/>
    <m/>
    <m/>
    <m/>
    <m/>
  </r>
  <r>
    <x v="25"/>
    <x v="0"/>
    <m/>
    <m/>
    <m/>
    <m/>
    <m/>
    <m/>
    <m/>
    <m/>
    <m/>
    <n v="4.3274372686137399"/>
    <m/>
    <m/>
    <m/>
    <m/>
    <m/>
    <m/>
    <m/>
    <m/>
    <m/>
    <m/>
    <m/>
    <m/>
    <m/>
  </r>
  <r>
    <x v="25"/>
    <x v="1"/>
    <m/>
    <m/>
    <m/>
    <m/>
    <m/>
    <m/>
    <m/>
    <m/>
    <m/>
    <n v="11.792266556972441"/>
    <m/>
    <m/>
    <m/>
    <m/>
    <m/>
    <m/>
    <m/>
    <m/>
    <m/>
    <m/>
    <m/>
    <m/>
    <m/>
  </r>
  <r>
    <x v="25"/>
    <x v="2"/>
    <m/>
    <m/>
    <m/>
    <m/>
    <m/>
    <m/>
    <m/>
    <m/>
    <m/>
    <n v="11.359522830111064"/>
    <m/>
    <m/>
    <m/>
    <m/>
    <m/>
    <m/>
    <m/>
    <m/>
    <m/>
    <m/>
    <m/>
    <m/>
    <m/>
  </r>
  <r>
    <x v="25"/>
    <x v="3"/>
    <m/>
    <m/>
    <m/>
    <m/>
    <m/>
    <m/>
    <m/>
    <m/>
    <m/>
    <n v="11.143150966680379"/>
    <m/>
    <m/>
    <m/>
    <m/>
    <m/>
    <m/>
    <m/>
    <m/>
    <m/>
    <m/>
    <m/>
    <m/>
    <m/>
  </r>
  <r>
    <x v="25"/>
    <x v="4"/>
    <m/>
    <m/>
    <m/>
    <m/>
    <m/>
    <m/>
    <m/>
    <m/>
    <m/>
    <n v="10.926779103249691"/>
    <m/>
    <m/>
    <m/>
    <m/>
    <m/>
    <m/>
    <m/>
    <m/>
    <m/>
    <m/>
    <m/>
    <m/>
    <m/>
  </r>
  <r>
    <x v="25"/>
    <x v="5"/>
    <m/>
    <m/>
    <m/>
    <m/>
    <m/>
    <m/>
    <m/>
    <m/>
    <m/>
    <n v="10.602221308103662"/>
    <m/>
    <m/>
    <m/>
    <m/>
    <m/>
    <m/>
    <m/>
    <m/>
    <m/>
    <m/>
    <m/>
    <m/>
    <m/>
  </r>
  <r>
    <x v="25"/>
    <x v="6"/>
    <m/>
    <m/>
    <m/>
    <m/>
    <m/>
    <m/>
    <m/>
    <m/>
    <m/>
    <n v="10.169477581242287"/>
    <m/>
    <m/>
    <m/>
    <m/>
    <m/>
    <m/>
    <m/>
    <m/>
    <m/>
    <m/>
    <m/>
    <m/>
    <m/>
  </r>
  <r>
    <x v="25"/>
    <x v="7"/>
    <m/>
    <m/>
    <m/>
    <m/>
    <m/>
    <m/>
    <m/>
    <m/>
    <m/>
    <n v="70.318640792050374"/>
    <m/>
    <m/>
    <m/>
    <m/>
    <m/>
    <m/>
    <m/>
    <m/>
    <m/>
    <m/>
    <m/>
    <m/>
    <m/>
  </r>
  <r>
    <x v="26"/>
    <x v="0"/>
    <m/>
    <m/>
    <m/>
    <m/>
    <m/>
    <m/>
    <m/>
    <m/>
    <m/>
    <n v="1.1751326762699017"/>
    <m/>
    <m/>
    <m/>
    <m/>
    <m/>
    <m/>
    <m/>
    <m/>
    <m/>
    <m/>
    <m/>
    <m/>
    <m/>
  </r>
  <r>
    <x v="26"/>
    <x v="1"/>
    <m/>
    <m/>
    <m/>
    <m/>
    <m/>
    <m/>
    <m/>
    <m/>
    <m/>
    <n v="3.2022365428354815"/>
    <m/>
    <m/>
    <m/>
    <m/>
    <m/>
    <m/>
    <m/>
    <m/>
    <m/>
    <m/>
    <m/>
    <m/>
    <m/>
  </r>
  <r>
    <x v="26"/>
    <x v="2"/>
    <m/>
    <m/>
    <m/>
    <m/>
    <m/>
    <m/>
    <m/>
    <m/>
    <m/>
    <n v="3.084723275208491"/>
    <m/>
    <m/>
    <m/>
    <m/>
    <m/>
    <m/>
    <m/>
    <m/>
    <m/>
    <m/>
    <m/>
    <m/>
    <m/>
  </r>
  <r>
    <x v="26"/>
    <x v="3"/>
    <m/>
    <m/>
    <m/>
    <m/>
    <m/>
    <m/>
    <m/>
    <m/>
    <m/>
    <n v="3.0259666413949962"/>
    <m/>
    <m/>
    <m/>
    <m/>
    <m/>
    <m/>
    <m/>
    <m/>
    <m/>
    <m/>
    <m/>
    <m/>
    <m/>
  </r>
  <r>
    <x v="26"/>
    <x v="4"/>
    <m/>
    <m/>
    <m/>
    <m/>
    <m/>
    <m/>
    <m/>
    <m/>
    <m/>
    <n v="2.9672100075815009"/>
    <m/>
    <m/>
    <m/>
    <m/>
    <m/>
    <m/>
    <m/>
    <m/>
    <m/>
    <m/>
    <m/>
    <m/>
    <m/>
  </r>
  <r>
    <x v="26"/>
    <x v="5"/>
    <m/>
    <m/>
    <m/>
    <m/>
    <m/>
    <m/>
    <m/>
    <m/>
    <m/>
    <n v="2.8790750568612591"/>
    <m/>
    <m/>
    <m/>
    <m/>
    <m/>
    <m/>
    <m/>
    <m/>
    <m/>
    <m/>
    <m/>
    <m/>
    <m/>
  </r>
  <r>
    <x v="26"/>
    <x v="6"/>
    <m/>
    <m/>
    <m/>
    <m/>
    <m/>
    <m/>
    <m/>
    <m/>
    <m/>
    <n v="2.7615617892342685"/>
    <m/>
    <m/>
    <m/>
    <m/>
    <m/>
    <m/>
    <m/>
    <m/>
    <m/>
    <m/>
    <m/>
    <m/>
    <m/>
  </r>
  <r>
    <x v="26"/>
    <x v="7"/>
    <m/>
    <m/>
    <m/>
    <m/>
    <m/>
    <m/>
    <m/>
    <m/>
    <m/>
    <n v="18.973475693725621"/>
    <m/>
    <m/>
    <m/>
    <m/>
    <m/>
    <m/>
    <m/>
    <m/>
    <m/>
    <m/>
    <m/>
    <m/>
    <m/>
  </r>
  <r>
    <x v="27"/>
    <x v="0"/>
    <m/>
    <m/>
    <m/>
    <m/>
    <m/>
    <m/>
    <m/>
    <m/>
    <m/>
    <n v="4.4665133908599843"/>
    <m/>
    <m/>
    <m/>
    <m/>
    <m/>
    <m/>
    <m/>
    <m/>
    <m/>
    <m/>
    <m/>
    <m/>
    <m/>
  </r>
  <r>
    <x v="27"/>
    <x v="1"/>
    <m/>
    <m/>
    <m/>
    <m/>
    <m/>
    <m/>
    <m/>
    <m/>
    <m/>
    <n v="12.171248990093456"/>
    <m/>
    <m/>
    <m/>
    <m/>
    <m/>
    <m/>
    <m/>
    <m/>
    <m/>
    <m/>
    <m/>
    <m/>
    <m/>
  </r>
  <r>
    <x v="27"/>
    <x v="2"/>
    <m/>
    <m/>
    <m/>
    <m/>
    <m/>
    <m/>
    <m/>
    <m/>
    <m/>
    <n v="11.724597651007459"/>
    <m/>
    <m/>
    <m/>
    <m/>
    <m/>
    <m/>
    <m/>
    <m/>
    <m/>
    <m/>
    <m/>
    <m/>
    <m/>
  </r>
  <r>
    <x v="27"/>
    <x v="3"/>
    <m/>
    <m/>
    <m/>
    <m/>
    <m/>
    <m/>
    <m/>
    <m/>
    <m/>
    <n v="11.501271981464459"/>
    <m/>
    <m/>
    <m/>
    <m/>
    <m/>
    <m/>
    <m/>
    <m/>
    <m/>
    <m/>
    <m/>
    <m/>
    <m/>
  </r>
  <r>
    <x v="27"/>
    <x v="4"/>
    <m/>
    <m/>
    <m/>
    <m/>
    <m/>
    <m/>
    <m/>
    <m/>
    <m/>
    <n v="11.277946311921463"/>
    <m/>
    <m/>
    <m/>
    <m/>
    <m/>
    <m/>
    <m/>
    <m/>
    <m/>
    <m/>
    <m/>
    <m/>
    <m/>
  </r>
  <r>
    <x v="27"/>
    <x v="5"/>
    <m/>
    <m/>
    <m/>
    <m/>
    <m/>
    <m/>
    <m/>
    <m/>
    <m/>
    <n v="10.942957807606957"/>
    <m/>
    <m/>
    <m/>
    <m/>
    <m/>
    <m/>
    <m/>
    <m/>
    <m/>
    <m/>
    <m/>
    <m/>
    <m/>
  </r>
  <r>
    <x v="27"/>
    <x v="6"/>
    <m/>
    <m/>
    <m/>
    <m/>
    <m/>
    <m/>
    <m/>
    <m/>
    <m/>
    <n v="10.496306468520961"/>
    <m/>
    <m/>
    <m/>
    <m/>
    <m/>
    <m/>
    <m/>
    <m/>
    <m/>
    <m/>
    <m/>
    <m/>
    <m/>
  </r>
  <r>
    <x v="27"/>
    <x v="7"/>
    <m/>
    <m/>
    <m/>
    <m/>
    <m/>
    <m/>
    <m/>
    <m/>
    <m/>
    <n v="72.334903928119118"/>
    <m/>
    <m/>
    <m/>
    <m/>
    <m/>
    <m/>
    <m/>
    <m/>
    <m/>
    <m/>
    <m/>
    <m/>
    <m/>
  </r>
  <r>
    <x v="0"/>
    <x v="0"/>
    <m/>
    <m/>
    <m/>
    <m/>
    <m/>
    <m/>
    <m/>
    <m/>
    <m/>
    <m/>
    <n v="3.8873116400960912"/>
    <m/>
    <m/>
    <m/>
    <m/>
    <m/>
    <m/>
    <m/>
    <m/>
    <m/>
    <m/>
    <m/>
    <m/>
  </r>
  <r>
    <x v="0"/>
    <x v="1"/>
    <m/>
    <m/>
    <m/>
    <m/>
    <m/>
    <m/>
    <m/>
    <m/>
    <m/>
    <m/>
    <n v="10.592924219261848"/>
    <m/>
    <m/>
    <m/>
    <m/>
    <m/>
    <m/>
    <m/>
    <m/>
    <m/>
    <m/>
    <m/>
    <m/>
  </r>
  <r>
    <x v="0"/>
    <x v="2"/>
    <m/>
    <m/>
    <m/>
    <m/>
    <m/>
    <m/>
    <m/>
    <m/>
    <m/>
    <m/>
    <n v="10.20419305525224"/>
    <m/>
    <m/>
    <m/>
    <m/>
    <m/>
    <m/>
    <m/>
    <m/>
    <m/>
    <m/>
    <m/>
    <m/>
  </r>
  <r>
    <x v="0"/>
    <x v="3"/>
    <m/>
    <m/>
    <m/>
    <m/>
    <m/>
    <m/>
    <m/>
    <m/>
    <m/>
    <m/>
    <n v="10.009827473247435"/>
    <m/>
    <m/>
    <m/>
    <m/>
    <m/>
    <m/>
    <m/>
    <m/>
    <m/>
    <m/>
    <m/>
    <m/>
  </r>
  <r>
    <x v="0"/>
    <x v="4"/>
    <m/>
    <m/>
    <m/>
    <m/>
    <m/>
    <m/>
    <m/>
    <m/>
    <m/>
    <m/>
    <n v="9.8154618912426308"/>
    <m/>
    <m/>
    <m/>
    <m/>
    <m/>
    <m/>
    <m/>
    <m/>
    <m/>
    <m/>
    <m/>
    <m/>
  </r>
  <r>
    <x v="0"/>
    <x v="5"/>
    <m/>
    <m/>
    <m/>
    <m/>
    <m/>
    <m/>
    <m/>
    <m/>
    <m/>
    <m/>
    <n v="9.5239135182354229"/>
    <m/>
    <m/>
    <m/>
    <m/>
    <m/>
    <m/>
    <m/>
    <m/>
    <m/>
    <m/>
    <m/>
    <m/>
  </r>
  <r>
    <x v="0"/>
    <x v="6"/>
    <m/>
    <m/>
    <m/>
    <m/>
    <m/>
    <m/>
    <m/>
    <m/>
    <m/>
    <m/>
    <n v="9.1351823542258135"/>
    <m/>
    <m/>
    <m/>
    <m/>
    <m/>
    <m/>
    <m/>
    <m/>
    <m/>
    <m/>
    <m/>
    <m/>
  </r>
  <r>
    <x v="0"/>
    <x v="7"/>
    <m/>
    <m/>
    <m/>
    <m/>
    <m/>
    <m/>
    <m/>
    <m/>
    <m/>
    <m/>
    <n v="63.22114580337356"/>
    <m/>
    <m/>
    <m/>
    <m/>
    <m/>
    <m/>
    <m/>
    <m/>
    <m/>
    <m/>
    <m/>
    <m/>
  </r>
  <r>
    <x v="1"/>
    <x v="0"/>
    <m/>
    <m/>
    <m/>
    <m/>
    <m/>
    <m/>
    <m/>
    <m/>
    <m/>
    <m/>
    <n v="8.6316323940086317"/>
    <m/>
    <m/>
    <m/>
    <m/>
    <m/>
    <m/>
    <m/>
    <m/>
    <m/>
    <m/>
    <m/>
    <m/>
  </r>
  <r>
    <x v="1"/>
    <x v="1"/>
    <m/>
    <m/>
    <m/>
    <m/>
    <m/>
    <m/>
    <m/>
    <m/>
    <m/>
    <m/>
    <n v="23.521198273673519"/>
    <m/>
    <m/>
    <m/>
    <m/>
    <m/>
    <m/>
    <m/>
    <m/>
    <m/>
    <m/>
    <m/>
    <m/>
  </r>
  <r>
    <x v="1"/>
    <x v="2"/>
    <m/>
    <m/>
    <m/>
    <m/>
    <m/>
    <m/>
    <m/>
    <m/>
    <m/>
    <m/>
    <n v="22.658035034272658"/>
    <m/>
    <m/>
    <m/>
    <m/>
    <m/>
    <m/>
    <m/>
    <m/>
    <m/>
    <m/>
    <m/>
    <m/>
  </r>
  <r>
    <x v="1"/>
    <x v="3"/>
    <m/>
    <m/>
    <m/>
    <m/>
    <m/>
    <m/>
    <m/>
    <m/>
    <m/>
    <m/>
    <n v="22.226453414572223"/>
    <m/>
    <m/>
    <m/>
    <m/>
    <m/>
    <m/>
    <m/>
    <m/>
    <m/>
    <m/>
    <m/>
    <m/>
  </r>
  <r>
    <x v="1"/>
    <x v="4"/>
    <m/>
    <m/>
    <m/>
    <m/>
    <m/>
    <m/>
    <m/>
    <m/>
    <m/>
    <m/>
    <n v="21.794871794871796"/>
    <m/>
    <m/>
    <m/>
    <m/>
    <m/>
    <m/>
    <m/>
    <m/>
    <m/>
    <m/>
    <m/>
    <m/>
  </r>
  <r>
    <x v="1"/>
    <x v="5"/>
    <m/>
    <m/>
    <m/>
    <m/>
    <m/>
    <m/>
    <m/>
    <m/>
    <m/>
    <m/>
    <n v="21.147499365321146"/>
    <m/>
    <m/>
    <m/>
    <m/>
    <m/>
    <m/>
    <m/>
    <m/>
    <m/>
    <m/>
    <m/>
    <m/>
  </r>
  <r>
    <x v="1"/>
    <x v="6"/>
    <m/>
    <m/>
    <m/>
    <m/>
    <m/>
    <m/>
    <m/>
    <m/>
    <m/>
    <m/>
    <n v="20.284336125920284"/>
    <m/>
    <m/>
    <m/>
    <m/>
    <m/>
    <m/>
    <m/>
    <m/>
    <m/>
    <m/>
    <m/>
    <m/>
  </r>
  <r>
    <x v="1"/>
    <x v="7"/>
    <m/>
    <m/>
    <m/>
    <m/>
    <m/>
    <m/>
    <m/>
    <m/>
    <m/>
    <m/>
    <n v="140.4527271168086"/>
    <m/>
    <m/>
    <m/>
    <m/>
    <m/>
    <m/>
    <m/>
    <m/>
    <m/>
    <m/>
    <m/>
    <m/>
  </r>
  <r>
    <x v="2"/>
    <x v="0"/>
    <m/>
    <m/>
    <m/>
    <m/>
    <m/>
    <m/>
    <m/>
    <m/>
    <m/>
    <m/>
    <n v="23.894491854150502"/>
    <m/>
    <m/>
    <m/>
    <m/>
    <m/>
    <m/>
    <m/>
    <m/>
    <m/>
    <m/>
    <m/>
    <m/>
  </r>
  <r>
    <x v="2"/>
    <x v="1"/>
    <m/>
    <m/>
    <m/>
    <m/>
    <m/>
    <m/>
    <m/>
    <m/>
    <m/>
    <m/>
    <n v="65.112490302560118"/>
    <m/>
    <m/>
    <m/>
    <m/>
    <m/>
    <m/>
    <m/>
    <m/>
    <m/>
    <m/>
    <m/>
    <m/>
  </r>
  <r>
    <x v="2"/>
    <x v="2"/>
    <m/>
    <m/>
    <m/>
    <m/>
    <m/>
    <m/>
    <m/>
    <m/>
    <m/>
    <m/>
    <n v="62.723041117145073"/>
    <m/>
    <m/>
    <m/>
    <m/>
    <m/>
    <m/>
    <m/>
    <m/>
    <m/>
    <m/>
    <m/>
    <m/>
  </r>
  <r>
    <x v="2"/>
    <x v="3"/>
    <m/>
    <m/>
    <m/>
    <m/>
    <m/>
    <m/>
    <m/>
    <m/>
    <m/>
    <m/>
    <n v="61.52831652443755"/>
    <m/>
    <m/>
    <m/>
    <m/>
    <m/>
    <m/>
    <m/>
    <m/>
    <m/>
    <m/>
    <m/>
    <m/>
  </r>
  <r>
    <x v="2"/>
    <x v="4"/>
    <m/>
    <m/>
    <m/>
    <m/>
    <m/>
    <m/>
    <m/>
    <m/>
    <m/>
    <m/>
    <n v="60.333591931730027"/>
    <m/>
    <m/>
    <m/>
    <m/>
    <m/>
    <m/>
    <m/>
    <m/>
    <m/>
    <m/>
    <m/>
    <m/>
  </r>
  <r>
    <x v="2"/>
    <x v="5"/>
    <m/>
    <m/>
    <m/>
    <m/>
    <m/>
    <m/>
    <m/>
    <m/>
    <m/>
    <m/>
    <n v="58.541505042668732"/>
    <m/>
    <m/>
    <m/>
    <m/>
    <m/>
    <m/>
    <m/>
    <m/>
    <m/>
    <m/>
    <m/>
    <m/>
  </r>
  <r>
    <x v="2"/>
    <x v="6"/>
    <m/>
    <m/>
    <m/>
    <m/>
    <m/>
    <m/>
    <m/>
    <m/>
    <m/>
    <m/>
    <n v="56.152055857253679"/>
    <m/>
    <m/>
    <m/>
    <m/>
    <m/>
    <m/>
    <m/>
    <m/>
    <m/>
    <m/>
    <m/>
    <m/>
  </r>
  <r>
    <x v="2"/>
    <x v="7"/>
    <m/>
    <m/>
    <m/>
    <m/>
    <m/>
    <m/>
    <m/>
    <m/>
    <m/>
    <m/>
    <n v="387.81850741785871"/>
    <m/>
    <m/>
    <m/>
    <m/>
    <m/>
    <m/>
    <m/>
    <m/>
    <m/>
    <m/>
    <m/>
    <m/>
  </r>
  <r>
    <x v="3"/>
    <x v="0"/>
    <m/>
    <m/>
    <m/>
    <m/>
    <m/>
    <m/>
    <m/>
    <m/>
    <m/>
    <m/>
    <n v="20.093215950284829"/>
    <m/>
    <m/>
    <m/>
    <m/>
    <m/>
    <m/>
    <m/>
    <m/>
    <m/>
    <m/>
    <m/>
    <m/>
  </r>
  <r>
    <x v="3"/>
    <x v="1"/>
    <m/>
    <m/>
    <m/>
    <m/>
    <m/>
    <m/>
    <m/>
    <m/>
    <m/>
    <m/>
    <n v="54.754013464526146"/>
    <m/>
    <m/>
    <m/>
    <m/>
    <m/>
    <m/>
    <m/>
    <m/>
    <m/>
    <m/>
    <m/>
    <m/>
  </r>
  <r>
    <x v="3"/>
    <x v="2"/>
    <m/>
    <m/>
    <m/>
    <m/>
    <m/>
    <m/>
    <m/>
    <m/>
    <m/>
    <m/>
    <n v="52.744691869497672"/>
    <m/>
    <m/>
    <m/>
    <m/>
    <m/>
    <m/>
    <m/>
    <m/>
    <m/>
    <m/>
    <m/>
    <m/>
  </r>
  <r>
    <x v="3"/>
    <x v="3"/>
    <m/>
    <m/>
    <m/>
    <m/>
    <m/>
    <m/>
    <m/>
    <m/>
    <m/>
    <m/>
    <n v="51.740031071983424"/>
    <m/>
    <m/>
    <m/>
    <m/>
    <m/>
    <m/>
    <m/>
    <m/>
    <m/>
    <m/>
    <m/>
    <m/>
  </r>
  <r>
    <x v="3"/>
    <x v="4"/>
    <m/>
    <m/>
    <m/>
    <m/>
    <m/>
    <m/>
    <m/>
    <m/>
    <m/>
    <m/>
    <n v="50.735370274469183"/>
    <m/>
    <m/>
    <m/>
    <m/>
    <m/>
    <m/>
    <m/>
    <m/>
    <m/>
    <m/>
    <m/>
    <m/>
  </r>
  <r>
    <x v="3"/>
    <x v="5"/>
    <m/>
    <m/>
    <m/>
    <m/>
    <m/>
    <m/>
    <m/>
    <m/>
    <m/>
    <m/>
    <n v="49.228379078197825"/>
    <m/>
    <m/>
    <m/>
    <m/>
    <m/>
    <m/>
    <m/>
    <m/>
    <m/>
    <m/>
    <m/>
    <m/>
  </r>
  <r>
    <x v="3"/>
    <x v="6"/>
    <m/>
    <m/>
    <m/>
    <m/>
    <m/>
    <m/>
    <m/>
    <m/>
    <m/>
    <m/>
    <n v="47.219057483169344"/>
    <m/>
    <m/>
    <m/>
    <m/>
    <m/>
    <m/>
    <m/>
    <m/>
    <m/>
    <m/>
    <m/>
    <m/>
  </r>
  <r>
    <x v="3"/>
    <x v="7"/>
    <m/>
    <m/>
    <m/>
    <m/>
    <m/>
    <m/>
    <m/>
    <m/>
    <m/>
    <m/>
    <n v="327.05124262676577"/>
    <m/>
    <m/>
    <m/>
    <m/>
    <m/>
    <m/>
    <m/>
    <m/>
    <m/>
    <m/>
    <m/>
    <m/>
  </r>
  <r>
    <x v="4"/>
    <x v="0"/>
    <m/>
    <m/>
    <m/>
    <m/>
    <m/>
    <m/>
    <m/>
    <m/>
    <m/>
    <m/>
    <n v="8.2815734989648035"/>
    <m/>
    <m/>
    <m/>
    <m/>
    <m/>
    <m/>
    <m/>
    <m/>
    <m/>
    <m/>
    <m/>
    <m/>
  </r>
  <r>
    <x v="4"/>
    <x v="1"/>
    <m/>
    <m/>
    <m/>
    <m/>
    <m/>
    <m/>
    <m/>
    <m/>
    <m/>
    <m/>
    <n v="22.567287784679092"/>
    <m/>
    <m/>
    <m/>
    <m/>
    <m/>
    <m/>
    <m/>
    <m/>
    <m/>
    <m/>
    <m/>
    <m/>
  </r>
  <r>
    <x v="4"/>
    <x v="2"/>
    <m/>
    <m/>
    <m/>
    <m/>
    <m/>
    <m/>
    <m/>
    <m/>
    <m/>
    <m/>
    <n v="21.739130434782609"/>
    <m/>
    <m/>
    <m/>
    <m/>
    <m/>
    <m/>
    <m/>
    <m/>
    <m/>
    <m/>
    <m/>
    <m/>
  </r>
  <r>
    <x v="4"/>
    <x v="3"/>
    <m/>
    <m/>
    <m/>
    <m/>
    <m/>
    <m/>
    <m/>
    <m/>
    <m/>
    <m/>
    <n v="21.32505175983437"/>
    <m/>
    <m/>
    <m/>
    <m/>
    <m/>
    <m/>
    <m/>
    <m/>
    <m/>
    <m/>
    <m/>
    <m/>
  </r>
  <r>
    <x v="4"/>
    <x v="4"/>
    <m/>
    <m/>
    <m/>
    <m/>
    <m/>
    <m/>
    <m/>
    <m/>
    <m/>
    <m/>
    <n v="20.910973084886127"/>
    <m/>
    <m/>
    <m/>
    <m/>
    <m/>
    <m/>
    <m/>
    <m/>
    <m/>
    <m/>
    <m/>
    <m/>
  </r>
  <r>
    <x v="4"/>
    <x v="5"/>
    <m/>
    <m/>
    <m/>
    <m/>
    <m/>
    <m/>
    <m/>
    <m/>
    <m/>
    <m/>
    <n v="20.289855072463769"/>
    <m/>
    <m/>
    <m/>
    <m/>
    <m/>
    <m/>
    <m/>
    <m/>
    <m/>
    <m/>
    <m/>
    <m/>
  </r>
  <r>
    <x v="4"/>
    <x v="6"/>
    <m/>
    <m/>
    <m/>
    <m/>
    <m/>
    <m/>
    <m/>
    <m/>
    <m/>
    <m/>
    <n v="19.46169772256729"/>
    <m/>
    <m/>
    <m/>
    <m/>
    <m/>
    <m/>
    <m/>
    <m/>
    <m/>
    <m/>
    <m/>
    <m/>
  </r>
  <r>
    <x v="4"/>
    <x v="7"/>
    <m/>
    <m/>
    <m/>
    <m/>
    <m/>
    <m/>
    <m/>
    <m/>
    <m/>
    <m/>
    <n v="135.737999307921"/>
    <m/>
    <m/>
    <m/>
    <m/>
    <m/>
    <m/>
    <m/>
    <m/>
    <m/>
    <m/>
    <m/>
    <m/>
  </r>
  <r>
    <x v="5"/>
    <x v="0"/>
    <m/>
    <m/>
    <m/>
    <m/>
    <m/>
    <m/>
    <m/>
    <m/>
    <m/>
    <m/>
    <n v="8.8065315108705633"/>
    <m/>
    <m/>
    <m/>
    <m/>
    <m/>
    <m/>
    <m/>
    <m/>
    <m/>
    <m/>
    <m/>
    <m/>
  </r>
  <r>
    <x v="5"/>
    <x v="1"/>
    <m/>
    <m/>
    <m/>
    <m/>
    <m/>
    <m/>
    <m/>
    <m/>
    <m/>
    <m/>
    <n v="23.997798367122286"/>
    <m/>
    <m/>
    <m/>
    <m/>
    <m/>
    <m/>
    <m/>
    <m/>
    <m/>
    <m/>
    <m/>
    <m/>
  </r>
  <r>
    <x v="5"/>
    <x v="2"/>
    <m/>
    <m/>
    <m/>
    <m/>
    <m/>
    <m/>
    <m/>
    <m/>
    <m/>
    <m/>
    <n v="23.117145216035226"/>
    <m/>
    <m/>
    <m/>
    <m/>
    <m/>
    <m/>
    <m/>
    <m/>
    <m/>
    <m/>
    <m/>
    <m/>
  </r>
  <r>
    <x v="5"/>
    <x v="3"/>
    <m/>
    <m/>
    <m/>
    <m/>
    <m/>
    <m/>
    <m/>
    <m/>
    <m/>
    <m/>
    <n v="22.6768186404917"/>
    <m/>
    <m/>
    <m/>
    <m/>
    <m/>
    <m/>
    <m/>
    <m/>
    <m/>
    <m/>
    <m/>
    <m/>
  </r>
  <r>
    <x v="5"/>
    <x v="4"/>
    <m/>
    <m/>
    <m/>
    <m/>
    <m/>
    <m/>
    <m/>
    <m/>
    <m/>
    <m/>
    <n v="22.23649206494817"/>
    <m/>
    <m/>
    <m/>
    <m/>
    <m/>
    <m/>
    <m/>
    <m/>
    <m/>
    <m/>
    <m/>
    <m/>
  </r>
  <r>
    <x v="5"/>
    <x v="5"/>
    <m/>
    <m/>
    <m/>
    <m/>
    <m/>
    <m/>
    <m/>
    <m/>
    <m/>
    <m/>
    <n v="21.576002201632878"/>
    <m/>
    <m/>
    <m/>
    <m/>
    <m/>
    <m/>
    <m/>
    <m/>
    <m/>
    <m/>
    <m/>
    <m/>
  </r>
  <r>
    <x v="5"/>
    <x v="6"/>
    <m/>
    <m/>
    <m/>
    <m/>
    <m/>
    <m/>
    <m/>
    <m/>
    <m/>
    <m/>
    <n v="20.695349050545826"/>
    <m/>
    <m/>
    <m/>
    <m/>
    <m/>
    <m/>
    <m/>
    <m/>
    <m/>
    <m/>
    <m/>
    <m/>
  </r>
  <r>
    <x v="5"/>
    <x v="7"/>
    <m/>
    <m/>
    <m/>
    <m/>
    <m/>
    <m/>
    <m/>
    <m/>
    <m/>
    <m/>
    <n v="143.25607498329828"/>
    <m/>
    <m/>
    <m/>
    <m/>
    <m/>
    <m/>
    <m/>
    <m/>
    <m/>
    <m/>
    <m/>
    <m/>
  </r>
  <r>
    <x v="6"/>
    <x v="0"/>
    <m/>
    <m/>
    <m/>
    <m/>
    <m/>
    <m/>
    <m/>
    <m/>
    <m/>
    <m/>
    <n v="3.3551417547391376"/>
    <m/>
    <m/>
    <m/>
    <m/>
    <m/>
    <m/>
    <m/>
    <m/>
    <m/>
    <m/>
    <m/>
    <m/>
  </r>
  <r>
    <x v="6"/>
    <x v="1"/>
    <m/>
    <m/>
    <m/>
    <m/>
    <m/>
    <m/>
    <m/>
    <m/>
    <m/>
    <m/>
    <n v="9.1427612816641499"/>
    <m/>
    <m/>
    <m/>
    <m/>
    <m/>
    <m/>
    <m/>
    <m/>
    <m/>
    <m/>
    <m/>
    <m/>
  </r>
  <r>
    <x v="6"/>
    <x v="2"/>
    <m/>
    <m/>
    <m/>
    <m/>
    <m/>
    <m/>
    <m/>
    <m/>
    <m/>
    <m/>
    <n v="8.8072471061902355"/>
    <m/>
    <m/>
    <m/>
    <m/>
    <m/>
    <m/>
    <m/>
    <m/>
    <m/>
    <m/>
    <m/>
    <m/>
  </r>
  <r>
    <x v="6"/>
    <x v="3"/>
    <m/>
    <m/>
    <m/>
    <m/>
    <m/>
    <m/>
    <m/>
    <m/>
    <m/>
    <m/>
    <n v="8.6394900184532784"/>
    <m/>
    <m/>
    <m/>
    <m/>
    <m/>
    <m/>
    <m/>
    <m/>
    <m/>
    <m/>
    <m/>
    <m/>
  </r>
  <r>
    <x v="6"/>
    <x v="4"/>
    <m/>
    <m/>
    <m/>
    <m/>
    <m/>
    <m/>
    <m/>
    <m/>
    <m/>
    <m/>
    <n v="8.4717329307163229"/>
    <m/>
    <m/>
    <m/>
    <m/>
    <m/>
    <m/>
    <m/>
    <m/>
    <m/>
    <m/>
    <m/>
    <m/>
  </r>
  <r>
    <x v="6"/>
    <x v="5"/>
    <m/>
    <m/>
    <m/>
    <m/>
    <m/>
    <m/>
    <m/>
    <m/>
    <m/>
    <m/>
    <n v="8.2200972991108863"/>
    <m/>
    <m/>
    <m/>
    <m/>
    <m/>
    <m/>
    <m/>
    <m/>
    <m/>
    <m/>
    <m/>
    <m/>
  </r>
  <r>
    <x v="6"/>
    <x v="6"/>
    <m/>
    <m/>
    <m/>
    <m/>
    <m/>
    <m/>
    <m/>
    <m/>
    <m/>
    <m/>
    <n v="7.8845831236369737"/>
    <m/>
    <m/>
    <m/>
    <m/>
    <m/>
    <m/>
    <m/>
    <m/>
    <m/>
    <m/>
    <m/>
    <m/>
  </r>
  <r>
    <x v="6"/>
    <x v="7"/>
    <m/>
    <m/>
    <m/>
    <m/>
    <m/>
    <m/>
    <m/>
    <m/>
    <m/>
    <m/>
    <n v="54.52365583686899"/>
    <m/>
    <m/>
    <m/>
    <m/>
    <m/>
    <m/>
    <m/>
    <m/>
    <m/>
    <m/>
    <m/>
    <m/>
  </r>
  <r>
    <x v="7"/>
    <x v="0"/>
    <m/>
    <m/>
    <m/>
    <m/>
    <m/>
    <m/>
    <m/>
    <m/>
    <m/>
    <m/>
    <n v="8.4363636363636356"/>
    <m/>
    <m/>
    <m/>
    <m/>
    <m/>
    <m/>
    <m/>
    <m/>
    <m/>
    <m/>
    <m/>
    <m/>
  </r>
  <r>
    <x v="7"/>
    <x v="1"/>
    <m/>
    <m/>
    <m/>
    <m/>
    <m/>
    <m/>
    <m/>
    <m/>
    <m/>
    <m/>
    <n v="22.989090909090908"/>
    <m/>
    <m/>
    <m/>
    <m/>
    <m/>
    <m/>
    <m/>
    <m/>
    <m/>
    <m/>
    <m/>
    <m/>
  </r>
  <r>
    <x v="7"/>
    <x v="2"/>
    <m/>
    <m/>
    <m/>
    <m/>
    <m/>
    <m/>
    <m/>
    <m/>
    <m/>
    <m/>
    <n v="22.145454545454548"/>
    <m/>
    <m/>
    <m/>
    <m/>
    <m/>
    <m/>
    <m/>
    <m/>
    <m/>
    <m/>
    <m/>
    <m/>
  </r>
  <r>
    <x v="7"/>
    <x v="3"/>
    <m/>
    <m/>
    <m/>
    <m/>
    <m/>
    <m/>
    <m/>
    <m/>
    <m/>
    <m/>
    <n v="21.723636363636363"/>
    <m/>
    <m/>
    <m/>
    <m/>
    <m/>
    <m/>
    <m/>
    <m/>
    <m/>
    <m/>
    <m/>
    <m/>
  </r>
  <r>
    <x v="7"/>
    <x v="4"/>
    <m/>
    <m/>
    <m/>
    <m/>
    <m/>
    <m/>
    <m/>
    <m/>
    <m/>
    <m/>
    <n v="21.301818181818181"/>
    <m/>
    <m/>
    <m/>
    <m/>
    <m/>
    <m/>
    <m/>
    <m/>
    <m/>
    <m/>
    <m/>
    <m/>
  </r>
  <r>
    <x v="7"/>
    <x v="5"/>
    <m/>
    <m/>
    <m/>
    <m/>
    <m/>
    <m/>
    <m/>
    <m/>
    <m/>
    <m/>
    <n v="20.669090909090908"/>
    <m/>
    <m/>
    <m/>
    <m/>
    <m/>
    <m/>
    <m/>
    <m/>
    <m/>
    <m/>
    <m/>
    <m/>
  </r>
  <r>
    <x v="7"/>
    <x v="6"/>
    <m/>
    <m/>
    <m/>
    <m/>
    <m/>
    <m/>
    <m/>
    <m/>
    <m/>
    <m/>
    <n v="19.825454545454544"/>
    <m/>
    <m/>
    <m/>
    <m/>
    <m/>
    <m/>
    <m/>
    <m/>
    <m/>
    <m/>
    <m/>
    <m/>
  </r>
  <r>
    <x v="7"/>
    <x v="7"/>
    <m/>
    <m/>
    <m/>
    <m/>
    <m/>
    <m/>
    <m/>
    <m/>
    <m/>
    <m/>
    <n v="135.45059692953629"/>
    <m/>
    <m/>
    <m/>
    <m/>
    <m/>
    <m/>
    <m/>
    <m/>
    <m/>
    <m/>
    <m/>
    <m/>
  </r>
  <r>
    <x v="8"/>
    <x v="0"/>
    <m/>
    <m/>
    <m/>
    <m/>
    <m/>
    <m/>
    <m/>
    <m/>
    <m/>
    <m/>
    <n v="6.3526052819414707"/>
    <m/>
    <m/>
    <m/>
    <m/>
    <m/>
    <m/>
    <m/>
    <m/>
    <m/>
    <m/>
    <m/>
    <m/>
  </r>
  <r>
    <x v="8"/>
    <x v="1"/>
    <m/>
    <m/>
    <m/>
    <m/>
    <m/>
    <m/>
    <m/>
    <m/>
    <m/>
    <m/>
    <n v="17.310849393290503"/>
    <m/>
    <m/>
    <m/>
    <m/>
    <m/>
    <m/>
    <m/>
    <m/>
    <m/>
    <m/>
    <m/>
    <m/>
  </r>
  <r>
    <x v="8"/>
    <x v="2"/>
    <m/>
    <m/>
    <m/>
    <m/>
    <m/>
    <m/>
    <m/>
    <m/>
    <m/>
    <m/>
    <n v="16.675588865096358"/>
    <m/>
    <m/>
    <m/>
    <m/>
    <m/>
    <m/>
    <m/>
    <m/>
    <m/>
    <m/>
    <m/>
    <m/>
  </r>
  <r>
    <x v="8"/>
    <x v="3"/>
    <m/>
    <m/>
    <m/>
    <m/>
    <m/>
    <m/>
    <m/>
    <m/>
    <m/>
    <m/>
    <n v="16.357958600999286"/>
    <m/>
    <m/>
    <m/>
    <m/>
    <m/>
    <m/>
    <m/>
    <m/>
    <m/>
    <m/>
    <m/>
    <m/>
  </r>
  <r>
    <x v="8"/>
    <x v="4"/>
    <m/>
    <m/>
    <m/>
    <m/>
    <m/>
    <m/>
    <m/>
    <m/>
    <m/>
    <m/>
    <n v="16.040328336902213"/>
    <m/>
    <m/>
    <m/>
    <m/>
    <m/>
    <m/>
    <m/>
    <m/>
    <m/>
    <m/>
    <m/>
    <m/>
  </r>
  <r>
    <x v="8"/>
    <x v="5"/>
    <m/>
    <m/>
    <m/>
    <m/>
    <m/>
    <m/>
    <m/>
    <m/>
    <m/>
    <m/>
    <n v="15.563882940756603"/>
    <m/>
    <m/>
    <m/>
    <m/>
    <m/>
    <m/>
    <m/>
    <m/>
    <m/>
    <m/>
    <m/>
    <m/>
  </r>
  <r>
    <x v="8"/>
    <x v="6"/>
    <m/>
    <m/>
    <m/>
    <m/>
    <m/>
    <m/>
    <m/>
    <m/>
    <m/>
    <m/>
    <n v="14.928622412562454"/>
    <m/>
    <m/>
    <m/>
    <m/>
    <m/>
    <m/>
    <m/>
    <m/>
    <m/>
    <m/>
    <m/>
    <m/>
  </r>
  <r>
    <x v="8"/>
    <x v="7"/>
    <m/>
    <m/>
    <m/>
    <m/>
    <m/>
    <m/>
    <m/>
    <m/>
    <m/>
    <m/>
    <n v="62.12673516161172"/>
    <m/>
    <m/>
    <m/>
    <m/>
    <m/>
    <m/>
    <m/>
    <m/>
    <m/>
    <m/>
    <m/>
    <m/>
  </r>
  <r>
    <x v="9"/>
    <x v="0"/>
    <m/>
    <m/>
    <m/>
    <m/>
    <m/>
    <m/>
    <m/>
    <m/>
    <m/>
    <m/>
    <n v="6.5374560007010682"/>
    <m/>
    <m/>
    <m/>
    <m/>
    <m/>
    <m/>
    <m/>
    <m/>
    <m/>
    <m/>
    <m/>
    <m/>
  </r>
  <r>
    <x v="9"/>
    <x v="1"/>
    <m/>
    <m/>
    <m/>
    <m/>
    <m/>
    <m/>
    <m/>
    <m/>
    <m/>
    <m/>
    <n v="17.814567601910412"/>
    <m/>
    <m/>
    <m/>
    <m/>
    <m/>
    <m/>
    <m/>
    <m/>
    <m/>
    <m/>
    <m/>
    <m/>
  </r>
  <r>
    <x v="9"/>
    <x v="2"/>
    <m/>
    <m/>
    <m/>
    <m/>
    <m/>
    <m/>
    <m/>
    <m/>
    <m/>
    <m/>
    <n v="17.160822001840305"/>
    <m/>
    <m/>
    <m/>
    <m/>
    <m/>
    <m/>
    <m/>
    <m/>
    <m/>
    <m/>
    <m/>
    <m/>
  </r>
  <r>
    <x v="9"/>
    <x v="3"/>
    <m/>
    <m/>
    <m/>
    <m/>
    <m/>
    <m/>
    <m/>
    <m/>
    <m/>
    <m/>
    <n v="16.83394920180525"/>
    <m/>
    <m/>
    <m/>
    <m/>
    <m/>
    <m/>
    <m/>
    <m/>
    <m/>
    <m/>
    <m/>
    <m/>
  </r>
  <r>
    <x v="9"/>
    <x v="4"/>
    <m/>
    <m/>
    <m/>
    <m/>
    <m/>
    <m/>
    <m/>
    <m/>
    <m/>
    <m/>
    <n v="16.507076401770195"/>
    <m/>
    <m/>
    <m/>
    <m/>
    <m/>
    <m/>
    <m/>
    <m/>
    <m/>
    <m/>
    <m/>
    <m/>
  </r>
  <r>
    <x v="9"/>
    <x v="5"/>
    <m/>
    <m/>
    <m/>
    <m/>
    <m/>
    <m/>
    <m/>
    <m/>
    <m/>
    <m/>
    <n v="16.016767201717613"/>
    <m/>
    <m/>
    <m/>
    <m/>
    <m/>
    <m/>
    <m/>
    <m/>
    <m/>
    <m/>
    <m/>
    <m/>
  </r>
  <r>
    <x v="9"/>
    <x v="6"/>
    <m/>
    <m/>
    <m/>
    <m/>
    <m/>
    <m/>
    <m/>
    <m/>
    <m/>
    <m/>
    <n v="15.363021601647509"/>
    <m/>
    <m/>
    <m/>
    <m/>
    <m/>
    <m/>
    <m/>
    <m/>
    <m/>
    <m/>
    <m/>
    <m/>
  </r>
  <r>
    <x v="9"/>
    <x v="7"/>
    <m/>
    <m/>
    <m/>
    <m/>
    <m/>
    <m/>
    <m/>
    <m/>
    <m/>
    <m/>
    <n v="106.28222643213805"/>
    <m/>
    <m/>
    <m/>
    <m/>
    <m/>
    <m/>
    <m/>
    <m/>
    <m/>
    <m/>
    <m/>
    <m/>
  </r>
  <r>
    <x v="10"/>
    <x v="0"/>
    <m/>
    <m/>
    <m/>
    <m/>
    <m/>
    <m/>
    <m/>
    <m/>
    <m/>
    <m/>
    <n v="3.9206288343558278"/>
    <m/>
    <m/>
    <m/>
    <m/>
    <m/>
    <m/>
    <m/>
    <m/>
    <m/>
    <m/>
    <m/>
    <m/>
  </r>
  <r>
    <x v="10"/>
    <x v="1"/>
    <m/>
    <m/>
    <m/>
    <m/>
    <m/>
    <m/>
    <m/>
    <m/>
    <m/>
    <m/>
    <n v="10.683713573619631"/>
    <m/>
    <m/>
    <m/>
    <m/>
    <m/>
    <m/>
    <m/>
    <m/>
    <m/>
    <m/>
    <m/>
    <m/>
  </r>
  <r>
    <x v="10"/>
    <x v="2"/>
    <m/>
    <m/>
    <m/>
    <m/>
    <m/>
    <m/>
    <m/>
    <m/>
    <m/>
    <m/>
    <n v="10.291650690184049"/>
    <m/>
    <m/>
    <m/>
    <m/>
    <m/>
    <m/>
    <m/>
    <m/>
    <m/>
    <m/>
    <m/>
    <m/>
  </r>
  <r>
    <x v="10"/>
    <x v="3"/>
    <m/>
    <m/>
    <m/>
    <m/>
    <m/>
    <m/>
    <m/>
    <m/>
    <m/>
    <m/>
    <n v="10.095619248466257"/>
    <m/>
    <m/>
    <m/>
    <m/>
    <m/>
    <m/>
    <m/>
    <m/>
    <m/>
    <m/>
    <m/>
    <m/>
  </r>
  <r>
    <x v="10"/>
    <x v="4"/>
    <m/>
    <m/>
    <m/>
    <m/>
    <m/>
    <m/>
    <m/>
    <m/>
    <m/>
    <m/>
    <n v="9.8995878067484657"/>
    <m/>
    <m/>
    <m/>
    <m/>
    <m/>
    <m/>
    <m/>
    <m/>
    <m/>
    <m/>
    <m/>
    <m/>
  </r>
  <r>
    <x v="10"/>
    <x v="5"/>
    <m/>
    <m/>
    <m/>
    <m/>
    <m/>
    <m/>
    <m/>
    <m/>
    <m/>
    <m/>
    <n v="9.6055406441717768"/>
    <m/>
    <m/>
    <m/>
    <m/>
    <m/>
    <m/>
    <m/>
    <m/>
    <m/>
    <m/>
    <m/>
    <m/>
  </r>
  <r>
    <x v="10"/>
    <x v="6"/>
    <m/>
    <m/>
    <m/>
    <m/>
    <m/>
    <m/>
    <m/>
    <m/>
    <m/>
    <m/>
    <n v="9.2134777607361968"/>
    <m/>
    <m/>
    <m/>
    <m/>
    <m/>
    <m/>
    <m/>
    <m/>
    <m/>
    <m/>
    <m/>
    <m/>
  </r>
  <r>
    <x v="10"/>
    <x v="7"/>
    <m/>
    <m/>
    <m/>
    <m/>
    <m/>
    <m/>
    <m/>
    <m/>
    <m/>
    <m/>
    <n v="63.724286793264596"/>
    <m/>
    <m/>
    <m/>
    <m/>
    <m/>
    <m/>
    <m/>
    <m/>
    <m/>
    <m/>
    <m/>
    <m/>
  </r>
  <r>
    <x v="11"/>
    <x v="0"/>
    <m/>
    <m/>
    <m/>
    <m/>
    <m/>
    <m/>
    <m/>
    <m/>
    <m/>
    <m/>
    <n v="21.22872800692241"/>
    <m/>
    <m/>
    <m/>
    <m/>
    <m/>
    <m/>
    <m/>
    <m/>
    <m/>
    <m/>
    <m/>
    <m/>
  </r>
  <r>
    <x v="11"/>
    <x v="1"/>
    <m/>
    <m/>
    <m/>
    <m/>
    <m/>
    <m/>
    <m/>
    <m/>
    <m/>
    <m/>
    <n v="57.848283818863564"/>
    <m/>
    <m/>
    <m/>
    <m/>
    <m/>
    <m/>
    <m/>
    <m/>
    <m/>
    <m/>
    <m/>
    <m/>
  </r>
  <r>
    <x v="11"/>
    <x v="2"/>
    <m/>
    <m/>
    <m/>
    <m/>
    <m/>
    <m/>
    <m/>
    <m/>
    <m/>
    <m/>
    <n v="55.725411018171336"/>
    <m/>
    <m/>
    <m/>
    <m/>
    <m/>
    <m/>
    <m/>
    <m/>
    <m/>
    <m/>
    <m/>
    <m/>
  </r>
  <r>
    <x v="11"/>
    <x v="3"/>
    <m/>
    <m/>
    <m/>
    <m/>
    <m/>
    <m/>
    <m/>
    <m/>
    <m/>
    <m/>
    <n v="54.663974617825204"/>
    <m/>
    <m/>
    <m/>
    <m/>
    <m/>
    <m/>
    <m/>
    <m/>
    <m/>
    <m/>
    <m/>
    <m/>
  </r>
  <r>
    <x v="11"/>
    <x v="4"/>
    <m/>
    <m/>
    <m/>
    <m/>
    <m/>
    <m/>
    <m/>
    <m/>
    <m/>
    <m/>
    <n v="53.602538217479086"/>
    <m/>
    <m/>
    <m/>
    <m/>
    <m/>
    <m/>
    <m/>
    <m/>
    <m/>
    <m/>
    <m/>
    <m/>
  </r>
  <r>
    <x v="11"/>
    <x v="5"/>
    <m/>
    <m/>
    <m/>
    <m/>
    <m/>
    <m/>
    <m/>
    <m/>
    <m/>
    <m/>
    <n v="52.010383616959913"/>
    <m/>
    <m/>
    <m/>
    <m/>
    <m/>
    <m/>
    <m/>
    <m/>
    <m/>
    <m/>
    <m/>
    <m/>
  </r>
  <r>
    <x v="11"/>
    <x v="6"/>
    <m/>
    <m/>
    <m/>
    <m/>
    <m/>
    <m/>
    <m/>
    <m/>
    <m/>
    <m/>
    <n v="49.887510816267664"/>
    <m/>
    <m/>
    <m/>
    <m/>
    <m/>
    <m/>
    <m/>
    <m/>
    <m/>
    <m/>
    <m/>
    <m/>
  </r>
  <r>
    <x v="11"/>
    <x v="7"/>
    <m/>
    <m/>
    <m/>
    <m/>
    <m/>
    <m/>
    <m/>
    <m/>
    <m/>
    <m/>
    <n v="344.85564927764273"/>
    <m/>
    <m/>
    <m/>
    <m/>
    <m/>
    <m/>
    <m/>
    <m/>
    <m/>
    <m/>
    <m/>
    <m/>
  </r>
  <r>
    <x v="12"/>
    <x v="0"/>
    <m/>
    <m/>
    <m/>
    <m/>
    <m/>
    <m/>
    <m/>
    <m/>
    <m/>
    <m/>
    <n v="18.069900886802291"/>
    <m/>
    <m/>
    <m/>
    <m/>
    <m/>
    <m/>
    <m/>
    <m/>
    <m/>
    <m/>
    <m/>
    <m/>
  </r>
  <r>
    <x v="12"/>
    <x v="1"/>
    <m/>
    <m/>
    <m/>
    <m/>
    <m/>
    <m/>
    <m/>
    <m/>
    <m/>
    <m/>
    <n v="49.240479916536245"/>
    <m/>
    <m/>
    <m/>
    <m/>
    <m/>
    <m/>
    <m/>
    <m/>
    <m/>
    <m/>
    <m/>
    <m/>
  </r>
  <r>
    <x v="12"/>
    <x v="2"/>
    <m/>
    <m/>
    <m/>
    <m/>
    <m/>
    <m/>
    <m/>
    <m/>
    <m/>
    <m/>
    <n v="47.433489827856022"/>
    <m/>
    <m/>
    <m/>
    <m/>
    <m/>
    <m/>
    <m/>
    <m/>
    <m/>
    <m/>
    <m/>
    <m/>
  </r>
  <r>
    <x v="12"/>
    <x v="3"/>
    <m/>
    <m/>
    <m/>
    <m/>
    <m/>
    <m/>
    <m/>
    <m/>
    <m/>
    <m/>
    <n v="46.52999478351591"/>
    <m/>
    <m/>
    <m/>
    <m/>
    <m/>
    <m/>
    <m/>
    <m/>
    <m/>
    <m/>
    <m/>
    <m/>
  </r>
  <r>
    <x v="12"/>
    <x v="4"/>
    <m/>
    <m/>
    <m/>
    <m/>
    <m/>
    <m/>
    <m/>
    <m/>
    <m/>
    <m/>
    <n v="45.626499739175799"/>
    <m/>
    <m/>
    <m/>
    <m/>
    <m/>
    <m/>
    <m/>
    <m/>
    <m/>
    <m/>
    <m/>
    <m/>
  </r>
  <r>
    <x v="12"/>
    <x v="5"/>
    <m/>
    <m/>
    <m/>
    <m/>
    <m/>
    <m/>
    <m/>
    <m/>
    <m/>
    <m/>
    <n v="44.271257172665614"/>
    <m/>
    <m/>
    <m/>
    <m/>
    <m/>
    <m/>
    <m/>
    <m/>
    <m/>
    <m/>
    <m/>
    <m/>
  </r>
  <r>
    <x v="12"/>
    <x v="6"/>
    <m/>
    <m/>
    <m/>
    <m/>
    <m/>
    <m/>
    <m/>
    <m/>
    <m/>
    <m/>
    <n v="42.464267083985391"/>
    <m/>
    <m/>
    <m/>
    <m/>
    <m/>
    <m/>
    <m/>
    <m/>
    <m/>
    <m/>
    <m/>
    <m/>
  </r>
  <r>
    <x v="12"/>
    <x v="7"/>
    <m/>
    <m/>
    <m/>
    <m/>
    <m/>
    <m/>
    <m/>
    <m/>
    <m/>
    <m/>
    <n v="293.78906355044842"/>
    <m/>
    <m/>
    <m/>
    <m/>
    <m/>
    <m/>
    <m/>
    <m/>
    <m/>
    <m/>
    <m/>
    <m/>
  </r>
  <r>
    <x v="13"/>
    <x v="0"/>
    <m/>
    <m/>
    <m/>
    <m/>
    <m/>
    <m/>
    <m/>
    <m/>
    <m/>
    <m/>
    <n v="7.6233183856502249"/>
    <m/>
    <m/>
    <m/>
    <m/>
    <m/>
    <m/>
    <m/>
    <m/>
    <m/>
    <m/>
    <m/>
    <m/>
  </r>
  <r>
    <x v="13"/>
    <x v="1"/>
    <m/>
    <m/>
    <m/>
    <m/>
    <m/>
    <m/>
    <m/>
    <m/>
    <m/>
    <m/>
    <n v="20.77354260089686"/>
    <m/>
    <m/>
    <m/>
    <m/>
    <m/>
    <m/>
    <m/>
    <m/>
    <m/>
    <m/>
    <m/>
    <m/>
  </r>
  <r>
    <x v="13"/>
    <x v="2"/>
    <m/>
    <m/>
    <m/>
    <m/>
    <m/>
    <m/>
    <m/>
    <m/>
    <m/>
    <m/>
    <n v="20.011210762331839"/>
    <m/>
    <m/>
    <m/>
    <m/>
    <m/>
    <m/>
    <m/>
    <m/>
    <m/>
    <m/>
    <m/>
    <m/>
  </r>
  <r>
    <x v="13"/>
    <x v="3"/>
    <m/>
    <m/>
    <m/>
    <m/>
    <m/>
    <m/>
    <m/>
    <m/>
    <m/>
    <m/>
    <n v="19.630044843049326"/>
    <m/>
    <m/>
    <m/>
    <m/>
    <m/>
    <m/>
    <m/>
    <m/>
    <m/>
    <m/>
    <m/>
    <m/>
  </r>
  <r>
    <x v="13"/>
    <x v="4"/>
    <m/>
    <m/>
    <m/>
    <m/>
    <m/>
    <m/>
    <m/>
    <m/>
    <m/>
    <m/>
    <n v="19.248878923766817"/>
    <m/>
    <m/>
    <m/>
    <m/>
    <m/>
    <m/>
    <m/>
    <m/>
    <m/>
    <m/>
    <m/>
    <m/>
  </r>
  <r>
    <x v="13"/>
    <x v="5"/>
    <m/>
    <m/>
    <m/>
    <m/>
    <m/>
    <m/>
    <m/>
    <m/>
    <m/>
    <m/>
    <n v="18.67713004484305"/>
    <m/>
    <m/>
    <m/>
    <m/>
    <m/>
    <m/>
    <m/>
    <m/>
    <m/>
    <m/>
    <m/>
    <m/>
  </r>
  <r>
    <x v="13"/>
    <x v="6"/>
    <m/>
    <m/>
    <m/>
    <m/>
    <m/>
    <m/>
    <m/>
    <m/>
    <m/>
    <m/>
    <n v="17.914798206278029"/>
    <m/>
    <m/>
    <m/>
    <m/>
    <m/>
    <m/>
    <m/>
    <m/>
    <m/>
    <m/>
    <m/>
    <m/>
  </r>
  <r>
    <x v="13"/>
    <x v="7"/>
    <m/>
    <m/>
    <m/>
    <m/>
    <m/>
    <m/>
    <m/>
    <m/>
    <m/>
    <m/>
    <n v="123.96117623996697"/>
    <m/>
    <m/>
    <m/>
    <m/>
    <m/>
    <m/>
    <m/>
    <m/>
    <m/>
    <m/>
    <m/>
    <m/>
  </r>
  <r>
    <x v="14"/>
    <x v="0"/>
    <m/>
    <m/>
    <m/>
    <m/>
    <m/>
    <m/>
    <m/>
    <m/>
    <m/>
    <m/>
    <n v="7.3324176290040883"/>
    <m/>
    <m/>
    <m/>
    <m/>
    <m/>
    <m/>
    <m/>
    <m/>
    <m/>
    <m/>
    <m/>
    <m/>
  </r>
  <r>
    <x v="14"/>
    <x v="1"/>
    <m/>
    <m/>
    <m/>
    <m/>
    <m/>
    <m/>
    <m/>
    <m/>
    <m/>
    <m/>
    <n v="19.980838039036136"/>
    <m/>
    <m/>
    <m/>
    <m/>
    <m/>
    <m/>
    <m/>
    <m/>
    <m/>
    <m/>
    <m/>
    <m/>
  </r>
  <r>
    <x v="14"/>
    <x v="2"/>
    <m/>
    <m/>
    <m/>
    <m/>
    <m/>
    <m/>
    <m/>
    <m/>
    <m/>
    <m/>
    <n v="19.247596276135727"/>
    <m/>
    <m/>
    <m/>
    <m/>
    <m/>
    <m/>
    <m/>
    <m/>
    <m/>
    <m/>
    <m/>
    <m/>
  </r>
  <r>
    <x v="14"/>
    <x v="3"/>
    <m/>
    <m/>
    <m/>
    <m/>
    <m/>
    <m/>
    <m/>
    <m/>
    <m/>
    <m/>
    <n v="18.880975394685525"/>
    <m/>
    <m/>
    <m/>
    <m/>
    <m/>
    <m/>
    <m/>
    <m/>
    <m/>
    <m/>
    <m/>
    <m/>
  </r>
  <r>
    <x v="14"/>
    <x v="4"/>
    <m/>
    <m/>
    <m/>
    <m/>
    <m/>
    <m/>
    <m/>
    <m/>
    <m/>
    <m/>
    <n v="18.514354513235318"/>
    <m/>
    <m/>
    <m/>
    <m/>
    <m/>
    <m/>
    <m/>
    <m/>
    <m/>
    <m/>
    <m/>
    <m/>
  </r>
  <r>
    <x v="14"/>
    <x v="5"/>
    <m/>
    <m/>
    <m/>
    <m/>
    <m/>
    <m/>
    <m/>
    <m/>
    <m/>
    <m/>
    <n v="17.964423191060014"/>
    <m/>
    <m/>
    <m/>
    <m/>
    <m/>
    <m/>
    <m/>
    <m/>
    <m/>
    <m/>
    <m/>
    <m/>
  </r>
  <r>
    <x v="14"/>
    <x v="6"/>
    <m/>
    <m/>
    <m/>
    <m/>
    <m/>
    <m/>
    <m/>
    <m/>
    <m/>
    <m/>
    <n v="17.231181428159601"/>
    <m/>
    <m/>
    <m/>
    <m/>
    <m/>
    <m/>
    <m/>
    <m/>
    <m/>
    <m/>
    <m/>
    <m/>
  </r>
  <r>
    <x v="14"/>
    <x v="7"/>
    <m/>
    <m/>
    <m/>
    <m/>
    <m/>
    <m/>
    <m/>
    <m/>
    <m/>
    <m/>
    <n v="119.10889970404131"/>
    <m/>
    <m/>
    <m/>
    <m/>
    <m/>
    <m/>
    <m/>
    <m/>
    <m/>
    <m/>
    <m/>
    <m/>
  </r>
  <r>
    <x v="15"/>
    <x v="0"/>
    <m/>
    <m/>
    <m/>
    <m/>
    <m/>
    <m/>
    <m/>
    <m/>
    <m/>
    <m/>
    <n v="15.146666666666667"/>
    <m/>
    <m/>
    <m/>
    <m/>
    <m/>
    <m/>
    <m/>
    <m/>
    <m/>
    <m/>
    <m/>
    <m/>
  </r>
  <r>
    <x v="15"/>
    <x v="1"/>
    <m/>
    <m/>
    <m/>
    <m/>
    <m/>
    <m/>
    <m/>
    <m/>
    <m/>
    <m/>
    <n v="41.274666666666668"/>
    <m/>
    <m/>
    <m/>
    <m/>
    <m/>
    <m/>
    <m/>
    <m/>
    <m/>
    <m/>
    <m/>
    <m/>
  </r>
  <r>
    <x v="15"/>
    <x v="2"/>
    <m/>
    <m/>
    <m/>
    <m/>
    <m/>
    <m/>
    <m/>
    <m/>
    <m/>
    <m/>
    <n v="39.760000000000005"/>
    <m/>
    <m/>
    <m/>
    <m/>
    <m/>
    <m/>
    <m/>
    <m/>
    <m/>
    <m/>
    <m/>
    <m/>
  </r>
  <r>
    <x v="15"/>
    <x v="3"/>
    <m/>
    <m/>
    <m/>
    <m/>
    <m/>
    <m/>
    <m/>
    <m/>
    <m/>
    <m/>
    <n v="39.00266666666667"/>
    <m/>
    <m/>
    <m/>
    <m/>
    <m/>
    <m/>
    <m/>
    <m/>
    <m/>
    <m/>
    <m/>
    <m/>
  </r>
  <r>
    <x v="15"/>
    <x v="4"/>
    <m/>
    <m/>
    <m/>
    <m/>
    <m/>
    <m/>
    <m/>
    <m/>
    <m/>
    <m/>
    <n v="38.245333333333335"/>
    <m/>
    <m/>
    <m/>
    <m/>
    <m/>
    <m/>
    <m/>
    <m/>
    <m/>
    <m/>
    <m/>
    <m/>
  </r>
  <r>
    <x v="15"/>
    <x v="5"/>
    <m/>
    <m/>
    <m/>
    <m/>
    <m/>
    <m/>
    <m/>
    <m/>
    <m/>
    <m/>
    <n v="37.109333333333332"/>
    <m/>
    <m/>
    <m/>
    <m/>
    <m/>
    <m/>
    <m/>
    <m/>
    <m/>
    <m/>
    <m/>
    <m/>
  </r>
  <r>
    <x v="15"/>
    <x v="6"/>
    <m/>
    <m/>
    <m/>
    <m/>
    <m/>
    <m/>
    <m/>
    <m/>
    <m/>
    <m/>
    <n v="35.594666666666669"/>
    <m/>
    <m/>
    <m/>
    <m/>
    <m/>
    <m/>
    <m/>
    <m/>
    <m/>
    <m/>
    <m/>
    <m/>
  </r>
  <r>
    <x v="15"/>
    <x v="7"/>
    <m/>
    <m/>
    <m/>
    <m/>
    <m/>
    <m/>
    <m/>
    <m/>
    <m/>
    <m/>
    <n v="247.29414846739425"/>
    <m/>
    <m/>
    <m/>
    <m/>
    <m/>
    <m/>
    <m/>
    <m/>
    <m/>
    <m/>
    <m/>
    <m/>
  </r>
  <r>
    <x v="16"/>
    <x v="0"/>
    <m/>
    <m/>
    <m/>
    <m/>
    <m/>
    <m/>
    <m/>
    <m/>
    <m/>
    <m/>
    <n v="14.137214137214139"/>
    <m/>
    <m/>
    <m/>
    <m/>
    <m/>
    <m/>
    <m/>
    <m/>
    <m/>
    <m/>
    <m/>
    <m/>
  </r>
  <r>
    <x v="16"/>
    <x v="1"/>
    <m/>
    <m/>
    <m/>
    <m/>
    <m/>
    <m/>
    <m/>
    <m/>
    <m/>
    <m/>
    <n v="38.523908523908524"/>
    <m/>
    <m/>
    <m/>
    <m/>
    <m/>
    <m/>
    <m/>
    <m/>
    <m/>
    <m/>
    <m/>
    <m/>
  </r>
  <r>
    <x v="16"/>
    <x v="2"/>
    <m/>
    <m/>
    <m/>
    <m/>
    <m/>
    <m/>
    <m/>
    <m/>
    <m/>
    <m/>
    <n v="37.110187110187113"/>
    <m/>
    <m/>
    <m/>
    <m/>
    <m/>
    <m/>
    <m/>
    <m/>
    <m/>
    <m/>
    <m/>
    <m/>
  </r>
  <r>
    <x v="16"/>
    <x v="3"/>
    <m/>
    <m/>
    <m/>
    <m/>
    <m/>
    <m/>
    <m/>
    <m/>
    <m/>
    <m/>
    <n v="36.403326403326403"/>
    <m/>
    <m/>
    <m/>
    <m/>
    <m/>
    <m/>
    <m/>
    <m/>
    <m/>
    <m/>
    <m/>
    <m/>
  </r>
  <r>
    <x v="16"/>
    <x v="4"/>
    <m/>
    <m/>
    <m/>
    <m/>
    <m/>
    <m/>
    <m/>
    <m/>
    <m/>
    <m/>
    <n v="35.696465696465701"/>
    <m/>
    <m/>
    <m/>
    <m/>
    <m/>
    <m/>
    <m/>
    <m/>
    <m/>
    <m/>
    <m/>
    <m/>
  </r>
  <r>
    <x v="16"/>
    <x v="5"/>
    <m/>
    <m/>
    <m/>
    <m/>
    <m/>
    <m/>
    <m/>
    <m/>
    <m/>
    <m/>
    <n v="34.636174636174637"/>
    <m/>
    <m/>
    <m/>
    <m/>
    <m/>
    <m/>
    <m/>
    <m/>
    <m/>
    <m/>
    <m/>
    <m/>
  </r>
  <r>
    <x v="16"/>
    <x v="6"/>
    <m/>
    <m/>
    <m/>
    <m/>
    <m/>
    <m/>
    <m/>
    <m/>
    <m/>
    <m/>
    <n v="33.222453222453225"/>
    <m/>
    <m/>
    <m/>
    <m/>
    <m/>
    <m/>
    <m/>
    <m/>
    <m/>
    <m/>
    <m/>
    <m/>
  </r>
  <r>
    <x v="16"/>
    <x v="7"/>
    <m/>
    <m/>
    <m/>
    <m/>
    <m/>
    <m/>
    <m/>
    <m/>
    <m/>
    <m/>
    <n v="230.13560873070085"/>
    <m/>
    <m/>
    <m/>
    <m/>
    <m/>
    <m/>
    <m/>
    <m/>
    <m/>
    <m/>
    <m/>
    <m/>
  </r>
  <r>
    <x v="17"/>
    <x v="0"/>
    <m/>
    <m/>
    <m/>
    <m/>
    <m/>
    <m/>
    <m/>
    <m/>
    <m/>
    <m/>
    <n v="6.0514372163388801"/>
    <m/>
    <m/>
    <m/>
    <m/>
    <m/>
    <m/>
    <m/>
    <m/>
    <m/>
    <m/>
    <m/>
    <m/>
  </r>
  <r>
    <x v="17"/>
    <x v="1"/>
    <m/>
    <m/>
    <m/>
    <m/>
    <m/>
    <m/>
    <m/>
    <m/>
    <m/>
    <m/>
    <n v="16.490166414523451"/>
    <m/>
    <m/>
    <m/>
    <m/>
    <m/>
    <m/>
    <m/>
    <m/>
    <m/>
    <m/>
    <m/>
    <m/>
  </r>
  <r>
    <x v="17"/>
    <x v="2"/>
    <m/>
    <m/>
    <m/>
    <m/>
    <m/>
    <m/>
    <m/>
    <m/>
    <m/>
    <m/>
    <n v="15.88502269288956"/>
    <m/>
    <m/>
    <m/>
    <m/>
    <m/>
    <m/>
    <m/>
    <m/>
    <m/>
    <m/>
    <m/>
    <m/>
  </r>
  <r>
    <x v="17"/>
    <x v="3"/>
    <m/>
    <m/>
    <m/>
    <m/>
    <m/>
    <m/>
    <m/>
    <m/>
    <m/>
    <m/>
    <n v="15.582450832072617"/>
    <m/>
    <m/>
    <m/>
    <m/>
    <m/>
    <m/>
    <m/>
    <m/>
    <m/>
    <m/>
    <m/>
    <m/>
  </r>
  <r>
    <x v="17"/>
    <x v="4"/>
    <m/>
    <m/>
    <m/>
    <m/>
    <m/>
    <m/>
    <m/>
    <m/>
    <m/>
    <m/>
    <n v="15.279878971255672"/>
    <m/>
    <m/>
    <m/>
    <m/>
    <m/>
    <m/>
    <m/>
    <m/>
    <m/>
    <m/>
    <m/>
    <m/>
  </r>
  <r>
    <x v="17"/>
    <x v="5"/>
    <m/>
    <m/>
    <m/>
    <m/>
    <m/>
    <m/>
    <m/>
    <m/>
    <m/>
    <m/>
    <n v="14.826021180030258"/>
    <m/>
    <m/>
    <m/>
    <m/>
    <m/>
    <m/>
    <m/>
    <m/>
    <m/>
    <m/>
    <m/>
    <m/>
  </r>
  <r>
    <x v="17"/>
    <x v="6"/>
    <m/>
    <m/>
    <m/>
    <m/>
    <m/>
    <m/>
    <m/>
    <m/>
    <m/>
    <m/>
    <n v="14.22087745839637"/>
    <m/>
    <m/>
    <m/>
    <m/>
    <m/>
    <m/>
    <m/>
    <m/>
    <m/>
    <m/>
    <m/>
    <m/>
  </r>
  <r>
    <x v="17"/>
    <x v="7"/>
    <m/>
    <m/>
    <m/>
    <m/>
    <m/>
    <m/>
    <m/>
    <m/>
    <m/>
    <m/>
    <n v="100.01136093584648"/>
    <m/>
    <m/>
    <m/>
    <m/>
    <m/>
    <m/>
    <m/>
    <m/>
    <m/>
    <m/>
    <m/>
    <m/>
  </r>
  <r>
    <x v="18"/>
    <x v="0"/>
    <m/>
    <m/>
    <m/>
    <m/>
    <m/>
    <m/>
    <m/>
    <m/>
    <m/>
    <m/>
    <n v="4.9733570159857905"/>
    <m/>
    <m/>
    <m/>
    <m/>
    <m/>
    <m/>
    <m/>
    <m/>
    <m/>
    <m/>
    <m/>
    <m/>
  </r>
  <r>
    <x v="18"/>
    <x v="1"/>
    <m/>
    <m/>
    <m/>
    <m/>
    <m/>
    <m/>
    <m/>
    <m/>
    <m/>
    <m/>
    <n v="13.552397868561281"/>
    <m/>
    <m/>
    <m/>
    <m/>
    <m/>
    <m/>
    <m/>
    <m/>
    <m/>
    <m/>
    <m/>
    <m/>
  </r>
  <r>
    <x v="18"/>
    <x v="2"/>
    <m/>
    <m/>
    <m/>
    <m/>
    <m/>
    <m/>
    <m/>
    <m/>
    <m/>
    <m/>
    <n v="13.055062166962701"/>
    <m/>
    <m/>
    <m/>
    <m/>
    <m/>
    <m/>
    <m/>
    <m/>
    <m/>
    <m/>
    <m/>
    <m/>
  </r>
  <r>
    <x v="18"/>
    <x v="3"/>
    <m/>
    <m/>
    <m/>
    <m/>
    <m/>
    <m/>
    <m/>
    <m/>
    <m/>
    <m/>
    <n v="12.806394316163411"/>
    <m/>
    <m/>
    <m/>
    <m/>
    <m/>
    <m/>
    <m/>
    <m/>
    <m/>
    <m/>
    <m/>
    <m/>
  </r>
  <r>
    <x v="18"/>
    <x v="4"/>
    <m/>
    <m/>
    <m/>
    <m/>
    <m/>
    <m/>
    <m/>
    <m/>
    <m/>
    <m/>
    <n v="12.557726465364123"/>
    <m/>
    <m/>
    <m/>
    <m/>
    <m/>
    <m/>
    <m/>
    <m/>
    <m/>
    <m/>
    <m/>
    <m/>
  </r>
  <r>
    <x v="18"/>
    <x v="5"/>
    <m/>
    <m/>
    <m/>
    <m/>
    <m/>
    <m/>
    <m/>
    <m/>
    <m/>
    <m/>
    <n v="12.184724689165186"/>
    <m/>
    <m/>
    <m/>
    <m/>
    <m/>
    <m/>
    <m/>
    <m/>
    <m/>
    <m/>
    <m/>
    <m/>
  </r>
  <r>
    <x v="18"/>
    <x v="6"/>
    <m/>
    <m/>
    <m/>
    <m/>
    <m/>
    <m/>
    <m/>
    <m/>
    <m/>
    <m/>
    <n v="11.687388987566608"/>
    <m/>
    <m/>
    <m/>
    <m/>
    <m/>
    <m/>
    <m/>
    <m/>
    <m/>
    <m/>
    <m/>
    <m/>
  </r>
  <r>
    <x v="18"/>
    <x v="7"/>
    <m/>
    <m/>
    <m/>
    <m/>
    <m/>
    <m/>
    <m/>
    <m/>
    <m/>
    <m/>
    <n v="80.817051509769101"/>
    <m/>
    <m/>
    <m/>
    <m/>
    <m/>
    <m/>
    <m/>
    <m/>
    <m/>
    <m/>
    <m/>
    <m/>
  </r>
  <r>
    <x v="19"/>
    <x v="0"/>
    <m/>
    <m/>
    <m/>
    <m/>
    <m/>
    <m/>
    <m/>
    <m/>
    <m/>
    <m/>
    <n v="2.474502591539876"/>
    <m/>
    <m/>
    <m/>
    <m/>
    <m/>
    <m/>
    <m/>
    <m/>
    <m/>
    <m/>
    <m/>
    <m/>
  </r>
  <r>
    <x v="19"/>
    <x v="1"/>
    <m/>
    <m/>
    <m/>
    <m/>
    <m/>
    <m/>
    <m/>
    <m/>
    <m/>
    <m/>
    <n v="6.7430195619461628"/>
    <m/>
    <m/>
    <m/>
    <m/>
    <m/>
    <m/>
    <m/>
    <m/>
    <m/>
    <m/>
    <m/>
    <m/>
  </r>
  <r>
    <x v="19"/>
    <x v="2"/>
    <m/>
    <m/>
    <m/>
    <m/>
    <m/>
    <m/>
    <m/>
    <m/>
    <m/>
    <m/>
    <n v="6.495569302792175"/>
    <m/>
    <m/>
    <m/>
    <m/>
    <m/>
    <m/>
    <m/>
    <m/>
    <m/>
    <m/>
    <m/>
    <m/>
  </r>
  <r>
    <x v="19"/>
    <x v="3"/>
    <m/>
    <m/>
    <m/>
    <m/>
    <m/>
    <m/>
    <m/>
    <m/>
    <m/>
    <m/>
    <n v="6.3718441732151812"/>
    <m/>
    <m/>
    <m/>
    <m/>
    <m/>
    <m/>
    <m/>
    <m/>
    <m/>
    <m/>
    <m/>
    <m/>
  </r>
  <r>
    <x v="19"/>
    <x v="4"/>
    <m/>
    <m/>
    <m/>
    <m/>
    <m/>
    <m/>
    <m/>
    <m/>
    <m/>
    <m/>
    <n v="6.2481190436381864"/>
    <m/>
    <m/>
    <m/>
    <m/>
    <m/>
    <m/>
    <m/>
    <m/>
    <m/>
    <m/>
    <m/>
    <m/>
  </r>
  <r>
    <x v="19"/>
    <x v="5"/>
    <m/>
    <m/>
    <m/>
    <m/>
    <m/>
    <m/>
    <m/>
    <m/>
    <m/>
    <m/>
    <n v="6.0625313492726969"/>
    <m/>
    <m/>
    <m/>
    <m/>
    <m/>
    <m/>
    <m/>
    <m/>
    <m/>
    <m/>
    <m/>
    <m/>
  </r>
  <r>
    <x v="19"/>
    <x v="6"/>
    <m/>
    <m/>
    <m/>
    <m/>
    <m/>
    <m/>
    <m/>
    <m/>
    <m/>
    <m/>
    <n v="5.8150810901187091"/>
    <m/>
    <m/>
    <m/>
    <m/>
    <m/>
    <m/>
    <m/>
    <m/>
    <m/>
    <m/>
    <m/>
    <m/>
  </r>
  <r>
    <x v="19"/>
    <x v="7"/>
    <m/>
    <m/>
    <m/>
    <m/>
    <m/>
    <m/>
    <m/>
    <m/>
    <m/>
    <m/>
    <n v="40.155895055066836"/>
    <m/>
    <m/>
    <m/>
    <m/>
    <m/>
    <m/>
    <m/>
    <m/>
    <m/>
    <m/>
    <m/>
    <m/>
  </r>
  <r>
    <x v="20"/>
    <x v="0"/>
    <m/>
    <m/>
    <m/>
    <m/>
    <m/>
    <m/>
    <m/>
    <m/>
    <m/>
    <m/>
    <n v="19.223942546626251"/>
    <m/>
    <m/>
    <m/>
    <m/>
    <m/>
    <m/>
    <m/>
    <m/>
    <m/>
    <m/>
    <m/>
    <m/>
  </r>
  <r>
    <x v="20"/>
    <x v="1"/>
    <m/>
    <m/>
    <m/>
    <m/>
    <m/>
    <m/>
    <m/>
    <m/>
    <m/>
    <m/>
    <n v="52.385243439556525"/>
    <m/>
    <m/>
    <m/>
    <m/>
    <m/>
    <m/>
    <m/>
    <m/>
    <m/>
    <m/>
    <m/>
    <m/>
  </r>
  <r>
    <x v="20"/>
    <x v="2"/>
    <m/>
    <m/>
    <m/>
    <m/>
    <m/>
    <m/>
    <m/>
    <m/>
    <m/>
    <m/>
    <n v="50.462849184893912"/>
    <m/>
    <m/>
    <m/>
    <m/>
    <m/>
    <m/>
    <m/>
    <m/>
    <m/>
    <m/>
    <m/>
    <m/>
  </r>
  <r>
    <x v="20"/>
    <x v="3"/>
    <m/>
    <m/>
    <m/>
    <m/>
    <m/>
    <m/>
    <m/>
    <m/>
    <m/>
    <m/>
    <n v="49.501652057562595"/>
    <m/>
    <m/>
    <m/>
    <m/>
    <m/>
    <m/>
    <m/>
    <m/>
    <m/>
    <m/>
    <m/>
    <m/>
  </r>
  <r>
    <x v="20"/>
    <x v="4"/>
    <m/>
    <m/>
    <m/>
    <m/>
    <m/>
    <m/>
    <m/>
    <m/>
    <m/>
    <m/>
    <n v="48.540454930231284"/>
    <m/>
    <m/>
    <m/>
    <m/>
    <m/>
    <m/>
    <m/>
    <m/>
    <m/>
    <m/>
    <m/>
    <m/>
  </r>
  <r>
    <x v="20"/>
    <x v="5"/>
    <m/>
    <m/>
    <m/>
    <m/>
    <m/>
    <m/>
    <m/>
    <m/>
    <m/>
    <m/>
    <n v="47.098659239234308"/>
    <m/>
    <m/>
    <m/>
    <m/>
    <m/>
    <m/>
    <m/>
    <m/>
    <m/>
    <m/>
    <m/>
    <m/>
  </r>
  <r>
    <x v="20"/>
    <x v="6"/>
    <m/>
    <m/>
    <m/>
    <m/>
    <m/>
    <m/>
    <m/>
    <m/>
    <m/>
    <m/>
    <n v="45.176264984571681"/>
    <m/>
    <m/>
    <m/>
    <m/>
    <m/>
    <m/>
    <m/>
    <m/>
    <m/>
    <m/>
    <m/>
    <m/>
  </r>
  <r>
    <x v="20"/>
    <x v="7"/>
    <m/>
    <m/>
    <m/>
    <m/>
    <m/>
    <m/>
    <m/>
    <m/>
    <m/>
    <m/>
    <n v="312.36248179036693"/>
    <m/>
    <m/>
    <m/>
    <m/>
    <m/>
    <m/>
    <m/>
    <m/>
    <m/>
    <m/>
    <m/>
    <m/>
  </r>
  <r>
    <x v="21"/>
    <x v="0"/>
    <m/>
    <m/>
    <m/>
    <m/>
    <m/>
    <m/>
    <m/>
    <m/>
    <m/>
    <m/>
    <n v="7.0676691729323311"/>
    <m/>
    <m/>
    <m/>
    <m/>
    <m/>
    <m/>
    <m/>
    <m/>
    <m/>
    <m/>
    <m/>
    <m/>
  </r>
  <r>
    <x v="21"/>
    <x v="1"/>
    <m/>
    <m/>
    <m/>
    <m/>
    <m/>
    <m/>
    <m/>
    <m/>
    <m/>
    <m/>
    <n v="19.259398496240603"/>
    <m/>
    <m/>
    <m/>
    <m/>
    <m/>
    <m/>
    <m/>
    <m/>
    <m/>
    <m/>
    <m/>
    <m/>
  </r>
  <r>
    <x v="21"/>
    <x v="2"/>
    <m/>
    <m/>
    <m/>
    <m/>
    <m/>
    <m/>
    <m/>
    <m/>
    <m/>
    <m/>
    <n v="18.552631578947366"/>
    <m/>
    <m/>
    <m/>
    <m/>
    <m/>
    <m/>
    <m/>
    <m/>
    <m/>
    <m/>
    <m/>
    <m/>
  </r>
  <r>
    <x v="21"/>
    <x v="3"/>
    <m/>
    <m/>
    <m/>
    <m/>
    <m/>
    <m/>
    <m/>
    <m/>
    <m/>
    <m/>
    <n v="18.199248120300748"/>
    <m/>
    <m/>
    <m/>
    <m/>
    <m/>
    <m/>
    <m/>
    <m/>
    <m/>
    <m/>
    <m/>
    <m/>
  </r>
  <r>
    <x v="21"/>
    <x v="4"/>
    <m/>
    <m/>
    <m/>
    <m/>
    <m/>
    <m/>
    <m/>
    <m/>
    <m/>
    <m/>
    <n v="17.845864661654133"/>
    <m/>
    <m/>
    <m/>
    <m/>
    <m/>
    <m/>
    <m/>
    <m/>
    <m/>
    <m/>
    <m/>
    <m/>
  </r>
  <r>
    <x v="21"/>
    <x v="5"/>
    <m/>
    <m/>
    <m/>
    <m/>
    <m/>
    <m/>
    <m/>
    <m/>
    <m/>
    <m/>
    <n v="17.315789473684209"/>
    <m/>
    <m/>
    <m/>
    <m/>
    <m/>
    <m/>
    <m/>
    <m/>
    <m/>
    <m/>
    <m/>
    <m/>
  </r>
  <r>
    <x v="21"/>
    <x v="6"/>
    <m/>
    <m/>
    <m/>
    <m/>
    <m/>
    <m/>
    <m/>
    <m/>
    <m/>
    <m/>
    <n v="16.609022556390975"/>
    <m/>
    <m/>
    <m/>
    <m/>
    <m/>
    <m/>
    <m/>
    <m/>
    <m/>
    <m/>
    <m/>
    <m/>
  </r>
  <r>
    <x v="21"/>
    <x v="7"/>
    <m/>
    <m/>
    <m/>
    <m/>
    <m/>
    <m/>
    <m/>
    <m/>
    <m/>
    <m/>
    <n v="114.95808433629421"/>
    <m/>
    <m/>
    <m/>
    <m/>
    <m/>
    <m/>
    <m/>
    <m/>
    <m/>
    <m/>
    <m/>
    <m/>
  </r>
  <r>
    <x v="22"/>
    <x v="0"/>
    <m/>
    <m/>
    <m/>
    <m/>
    <m/>
    <m/>
    <m/>
    <m/>
    <m/>
    <m/>
    <n v="19.404237465911475"/>
    <m/>
    <m/>
    <m/>
    <m/>
    <m/>
    <m/>
    <m/>
    <m/>
    <m/>
    <m/>
    <m/>
    <m/>
  </r>
  <r>
    <x v="22"/>
    <x v="1"/>
    <m/>
    <m/>
    <m/>
    <m/>
    <m/>
    <m/>
    <m/>
    <m/>
    <m/>
    <m/>
    <n v="52.876547094608767"/>
    <m/>
    <m/>
    <m/>
    <m/>
    <m/>
    <m/>
    <m/>
    <m/>
    <m/>
    <m/>
    <m/>
    <m/>
  </r>
  <r>
    <x v="22"/>
    <x v="2"/>
    <m/>
    <m/>
    <m/>
    <m/>
    <m/>
    <m/>
    <m/>
    <m/>
    <m/>
    <m/>
    <n v="50.936123348017617"/>
    <m/>
    <m/>
    <m/>
    <m/>
    <m/>
    <m/>
    <m/>
    <m/>
    <m/>
    <m/>
    <m/>
    <m/>
  </r>
  <r>
    <x v="22"/>
    <x v="3"/>
    <m/>
    <m/>
    <m/>
    <m/>
    <m/>
    <m/>
    <m/>
    <m/>
    <m/>
    <m/>
    <n v="49.965911474722041"/>
    <m/>
    <m/>
    <m/>
    <m/>
    <m/>
    <m/>
    <m/>
    <m/>
    <m/>
    <m/>
    <m/>
    <m/>
  </r>
  <r>
    <x v="22"/>
    <x v="4"/>
    <m/>
    <m/>
    <m/>
    <m/>
    <m/>
    <m/>
    <m/>
    <m/>
    <m/>
    <m/>
    <n v="48.995699601426473"/>
    <m/>
    <m/>
    <m/>
    <m/>
    <m/>
    <m/>
    <m/>
    <m/>
    <m/>
    <m/>
    <m/>
    <m/>
  </r>
  <r>
    <x v="22"/>
    <x v="5"/>
    <m/>
    <m/>
    <m/>
    <m/>
    <m/>
    <m/>
    <m/>
    <m/>
    <m/>
    <m/>
    <n v="47.540381791483107"/>
    <m/>
    <m/>
    <m/>
    <m/>
    <m/>
    <m/>
    <m/>
    <m/>
    <m/>
    <m/>
    <m/>
    <m/>
  </r>
  <r>
    <x v="22"/>
    <x v="6"/>
    <m/>
    <m/>
    <m/>
    <m/>
    <m/>
    <m/>
    <m/>
    <m/>
    <m/>
    <m/>
    <n v="45.599958044891963"/>
    <m/>
    <m/>
    <m/>
    <m/>
    <m/>
    <m/>
    <m/>
    <m/>
    <m/>
    <m/>
    <m/>
    <m/>
  </r>
  <r>
    <x v="22"/>
    <x v="7"/>
    <m/>
    <m/>
    <m/>
    <m/>
    <m/>
    <m/>
    <m/>
    <m/>
    <m/>
    <m/>
    <n v="315.32815656062144"/>
    <m/>
    <m/>
    <m/>
    <m/>
    <m/>
    <m/>
    <m/>
    <m/>
    <m/>
    <m/>
    <m/>
    <m/>
  </r>
  <r>
    <x v="23"/>
    <x v="0"/>
    <m/>
    <m/>
    <m/>
    <m/>
    <m/>
    <m/>
    <m/>
    <m/>
    <m/>
    <m/>
    <n v="17.327188940092167"/>
    <m/>
    <m/>
    <m/>
    <m/>
    <m/>
    <m/>
    <m/>
    <m/>
    <m/>
    <m/>
    <m/>
    <m/>
  </r>
  <r>
    <x v="23"/>
    <x v="1"/>
    <m/>
    <m/>
    <m/>
    <m/>
    <m/>
    <m/>
    <m/>
    <m/>
    <m/>
    <m/>
    <n v="47.216589861751146"/>
    <m/>
    <m/>
    <m/>
    <m/>
    <m/>
    <m/>
    <m/>
    <m/>
    <m/>
    <m/>
    <m/>
    <m/>
  </r>
  <r>
    <x v="23"/>
    <x v="2"/>
    <m/>
    <m/>
    <m/>
    <m/>
    <m/>
    <m/>
    <m/>
    <m/>
    <m/>
    <m/>
    <n v="45.483870967741936"/>
    <m/>
    <m/>
    <m/>
    <m/>
    <m/>
    <m/>
    <m/>
    <m/>
    <m/>
    <m/>
    <m/>
    <m/>
  </r>
  <r>
    <x v="23"/>
    <x v="3"/>
    <m/>
    <m/>
    <m/>
    <m/>
    <m/>
    <m/>
    <m/>
    <m/>
    <m/>
    <m/>
    <n v="44.617511520737331"/>
    <m/>
    <m/>
    <m/>
    <m/>
    <m/>
    <m/>
    <m/>
    <m/>
    <m/>
    <m/>
    <m/>
    <m/>
  </r>
  <r>
    <x v="23"/>
    <x v="4"/>
    <m/>
    <m/>
    <m/>
    <m/>
    <m/>
    <m/>
    <m/>
    <m/>
    <m/>
    <m/>
    <n v="43.751152073732712"/>
    <m/>
    <m/>
    <m/>
    <m/>
    <m/>
    <m/>
    <m/>
    <m/>
    <m/>
    <m/>
    <m/>
    <m/>
  </r>
  <r>
    <x v="23"/>
    <x v="5"/>
    <m/>
    <m/>
    <m/>
    <m/>
    <m/>
    <m/>
    <m/>
    <m/>
    <m/>
    <m/>
    <n v="42.451612903225808"/>
    <m/>
    <m/>
    <m/>
    <m/>
    <m/>
    <m/>
    <m/>
    <m/>
    <m/>
    <m/>
    <m/>
    <m/>
  </r>
  <r>
    <x v="23"/>
    <x v="6"/>
    <m/>
    <m/>
    <m/>
    <m/>
    <m/>
    <m/>
    <m/>
    <m/>
    <m/>
    <m/>
    <n v="40.718894009216598"/>
    <m/>
    <m/>
    <m/>
    <m/>
    <m/>
    <m/>
    <m/>
    <m/>
    <m/>
    <m/>
    <m/>
    <m/>
  </r>
  <r>
    <x v="23"/>
    <x v="7"/>
    <m/>
    <m/>
    <m/>
    <m/>
    <m/>
    <m/>
    <m/>
    <m/>
    <m/>
    <m/>
    <n v="282.12959896242148"/>
    <m/>
    <m/>
    <m/>
    <m/>
    <m/>
    <m/>
    <m/>
    <m/>
    <m/>
    <m/>
    <m/>
    <m/>
  </r>
  <r>
    <x v="24"/>
    <x v="0"/>
    <m/>
    <m/>
    <m/>
    <m/>
    <m/>
    <m/>
    <m/>
    <m/>
    <m/>
    <m/>
    <n v="10.357815442561204"/>
    <m/>
    <m/>
    <m/>
    <m/>
    <m/>
    <m/>
    <m/>
    <m/>
    <m/>
    <m/>
    <m/>
    <m/>
  </r>
  <r>
    <x v="24"/>
    <x v="1"/>
    <m/>
    <m/>
    <m/>
    <m/>
    <m/>
    <m/>
    <m/>
    <m/>
    <m/>
    <m/>
    <n v="28.225047080979277"/>
    <m/>
    <m/>
    <m/>
    <m/>
    <m/>
    <m/>
    <m/>
    <m/>
    <m/>
    <m/>
    <m/>
    <m/>
  </r>
  <r>
    <x v="24"/>
    <x v="2"/>
    <m/>
    <m/>
    <m/>
    <m/>
    <m/>
    <m/>
    <m/>
    <m/>
    <m/>
    <m/>
    <n v="27.189265536723163"/>
    <m/>
    <m/>
    <m/>
    <m/>
    <m/>
    <m/>
    <m/>
    <m/>
    <m/>
    <m/>
    <m/>
    <m/>
  </r>
  <r>
    <x v="24"/>
    <x v="3"/>
    <m/>
    <m/>
    <m/>
    <m/>
    <m/>
    <m/>
    <m/>
    <m/>
    <m/>
    <m/>
    <n v="26.6713747645951"/>
    <m/>
    <m/>
    <m/>
    <m/>
    <m/>
    <m/>
    <m/>
    <m/>
    <m/>
    <m/>
    <m/>
    <m/>
  </r>
  <r>
    <x v="24"/>
    <x v="4"/>
    <m/>
    <m/>
    <m/>
    <m/>
    <m/>
    <m/>
    <m/>
    <m/>
    <m/>
    <m/>
    <n v="26.153483992467041"/>
    <m/>
    <m/>
    <m/>
    <m/>
    <m/>
    <m/>
    <m/>
    <m/>
    <m/>
    <m/>
    <m/>
    <m/>
  </r>
  <r>
    <x v="24"/>
    <x v="5"/>
    <m/>
    <m/>
    <m/>
    <m/>
    <m/>
    <m/>
    <m/>
    <m/>
    <m/>
    <m/>
    <n v="25.376647834274948"/>
    <m/>
    <m/>
    <m/>
    <m/>
    <m/>
    <m/>
    <m/>
    <m/>
    <m/>
    <m/>
    <m/>
    <m/>
  </r>
  <r>
    <x v="24"/>
    <x v="6"/>
    <m/>
    <m/>
    <m/>
    <m/>
    <m/>
    <m/>
    <m/>
    <m/>
    <m/>
    <m/>
    <n v="24.340866290018827"/>
    <m/>
    <m/>
    <m/>
    <m/>
    <m/>
    <m/>
    <m/>
    <m/>
    <m/>
    <m/>
    <m/>
    <m/>
  </r>
  <r>
    <x v="24"/>
    <x v="7"/>
    <m/>
    <m/>
    <m/>
    <m/>
    <m/>
    <m/>
    <m/>
    <m/>
    <m/>
    <m/>
    <n v="168.43054968619722"/>
    <m/>
    <m/>
    <m/>
    <m/>
    <m/>
    <m/>
    <m/>
    <m/>
    <m/>
    <m/>
    <m/>
    <m/>
  </r>
  <r>
    <x v="25"/>
    <x v="0"/>
    <m/>
    <m/>
    <m/>
    <m/>
    <m/>
    <m/>
    <m/>
    <m/>
    <m/>
    <m/>
    <n v="8.6548745372274798"/>
    <m/>
    <m/>
    <m/>
    <m/>
    <m/>
    <m/>
    <m/>
    <m/>
    <m/>
    <m/>
    <m/>
    <m/>
  </r>
  <r>
    <x v="25"/>
    <x v="1"/>
    <m/>
    <m/>
    <m/>
    <m/>
    <m/>
    <m/>
    <m/>
    <m/>
    <m/>
    <m/>
    <n v="23.584533113944882"/>
    <m/>
    <m/>
    <m/>
    <m/>
    <m/>
    <m/>
    <m/>
    <m/>
    <m/>
    <m/>
    <m/>
    <m/>
  </r>
  <r>
    <x v="25"/>
    <x v="2"/>
    <m/>
    <m/>
    <m/>
    <m/>
    <m/>
    <m/>
    <m/>
    <m/>
    <m/>
    <m/>
    <n v="22.719045660222129"/>
    <m/>
    <m/>
    <m/>
    <m/>
    <m/>
    <m/>
    <m/>
    <m/>
    <m/>
    <m/>
    <m/>
    <m/>
  </r>
  <r>
    <x v="25"/>
    <x v="3"/>
    <m/>
    <m/>
    <m/>
    <m/>
    <m/>
    <m/>
    <m/>
    <m/>
    <m/>
    <m/>
    <n v="22.286301933360757"/>
    <m/>
    <m/>
    <m/>
    <m/>
    <m/>
    <m/>
    <m/>
    <m/>
    <m/>
    <m/>
    <m/>
    <m/>
  </r>
  <r>
    <x v="25"/>
    <x v="4"/>
    <m/>
    <m/>
    <m/>
    <m/>
    <m/>
    <m/>
    <m/>
    <m/>
    <m/>
    <m/>
    <n v="21.853558206499383"/>
    <m/>
    <m/>
    <m/>
    <m/>
    <m/>
    <m/>
    <m/>
    <m/>
    <m/>
    <m/>
    <m/>
    <m/>
  </r>
  <r>
    <x v="25"/>
    <x v="5"/>
    <m/>
    <m/>
    <m/>
    <m/>
    <m/>
    <m/>
    <m/>
    <m/>
    <m/>
    <m/>
    <n v="21.204442616207324"/>
    <m/>
    <m/>
    <m/>
    <m/>
    <m/>
    <m/>
    <m/>
    <m/>
    <m/>
    <m/>
    <m/>
    <m/>
  </r>
  <r>
    <x v="25"/>
    <x v="6"/>
    <m/>
    <m/>
    <m/>
    <m/>
    <m/>
    <m/>
    <m/>
    <m/>
    <m/>
    <m/>
    <n v="20.338955162484574"/>
    <m/>
    <m/>
    <m/>
    <m/>
    <m/>
    <m/>
    <m/>
    <m/>
    <m/>
    <m/>
    <m/>
    <m/>
  </r>
  <r>
    <x v="25"/>
    <x v="7"/>
    <m/>
    <m/>
    <m/>
    <m/>
    <m/>
    <m/>
    <m/>
    <m/>
    <m/>
    <m/>
    <n v="140.63728158410075"/>
    <m/>
    <m/>
    <m/>
    <m/>
    <m/>
    <m/>
    <m/>
    <m/>
    <m/>
    <m/>
    <m/>
    <m/>
  </r>
  <r>
    <x v="26"/>
    <x v="0"/>
    <m/>
    <m/>
    <m/>
    <m/>
    <m/>
    <m/>
    <m/>
    <m/>
    <m/>
    <m/>
    <n v="2.3502653525398034"/>
    <m/>
    <m/>
    <m/>
    <m/>
    <m/>
    <m/>
    <m/>
    <m/>
    <m/>
    <m/>
    <m/>
    <m/>
  </r>
  <r>
    <x v="26"/>
    <x v="1"/>
    <m/>
    <m/>
    <m/>
    <m/>
    <m/>
    <m/>
    <m/>
    <m/>
    <m/>
    <m/>
    <n v="6.4044730856709631"/>
    <m/>
    <m/>
    <m/>
    <m/>
    <m/>
    <m/>
    <m/>
    <m/>
    <m/>
    <m/>
    <m/>
    <m/>
  </r>
  <r>
    <x v="26"/>
    <x v="2"/>
    <m/>
    <m/>
    <m/>
    <m/>
    <m/>
    <m/>
    <m/>
    <m/>
    <m/>
    <m/>
    <n v="6.169446550416982"/>
    <m/>
    <m/>
    <m/>
    <m/>
    <m/>
    <m/>
    <m/>
    <m/>
    <m/>
    <m/>
    <m/>
    <m/>
  </r>
  <r>
    <x v="26"/>
    <x v="3"/>
    <m/>
    <m/>
    <m/>
    <m/>
    <m/>
    <m/>
    <m/>
    <m/>
    <m/>
    <m/>
    <n v="6.0519332827899923"/>
    <m/>
    <m/>
    <m/>
    <m/>
    <m/>
    <m/>
    <m/>
    <m/>
    <m/>
    <m/>
    <m/>
    <m/>
  </r>
  <r>
    <x v="26"/>
    <x v="4"/>
    <m/>
    <m/>
    <m/>
    <m/>
    <m/>
    <m/>
    <m/>
    <m/>
    <m/>
    <m/>
    <n v="5.9344200151630018"/>
    <m/>
    <m/>
    <m/>
    <m/>
    <m/>
    <m/>
    <m/>
    <m/>
    <m/>
    <m/>
    <m/>
    <m/>
  </r>
  <r>
    <x v="26"/>
    <x v="5"/>
    <m/>
    <m/>
    <m/>
    <m/>
    <m/>
    <m/>
    <m/>
    <m/>
    <m/>
    <m/>
    <n v="5.7581501137225182"/>
    <m/>
    <m/>
    <m/>
    <m/>
    <m/>
    <m/>
    <m/>
    <m/>
    <m/>
    <m/>
    <m/>
    <m/>
  </r>
  <r>
    <x v="26"/>
    <x v="6"/>
    <m/>
    <m/>
    <m/>
    <m/>
    <m/>
    <m/>
    <m/>
    <m/>
    <m/>
    <m/>
    <n v="5.5231235784685371"/>
    <m/>
    <m/>
    <m/>
    <m/>
    <m/>
    <m/>
    <m/>
    <m/>
    <m/>
    <m/>
    <m/>
    <m/>
  </r>
  <r>
    <x v="26"/>
    <x v="7"/>
    <m/>
    <m/>
    <m/>
    <m/>
    <m/>
    <m/>
    <m/>
    <m/>
    <m/>
    <m/>
    <n v="37.946951387451243"/>
    <m/>
    <m/>
    <m/>
    <m/>
    <m/>
    <m/>
    <m/>
    <m/>
    <m/>
    <m/>
    <m/>
    <m/>
  </r>
  <r>
    <x v="27"/>
    <x v="0"/>
    <m/>
    <m/>
    <m/>
    <m/>
    <m/>
    <m/>
    <m/>
    <m/>
    <m/>
    <m/>
    <n v="8.9330267817199687"/>
    <m/>
    <m/>
    <m/>
    <m/>
    <m/>
    <m/>
    <m/>
    <m/>
    <m/>
    <m/>
    <m/>
    <m/>
  </r>
  <r>
    <x v="27"/>
    <x v="1"/>
    <m/>
    <m/>
    <m/>
    <m/>
    <m/>
    <m/>
    <m/>
    <m/>
    <m/>
    <m/>
    <n v="24.342497980186913"/>
    <m/>
    <m/>
    <m/>
    <m/>
    <m/>
    <m/>
    <m/>
    <m/>
    <m/>
    <m/>
    <m/>
    <m/>
  </r>
  <r>
    <x v="27"/>
    <x v="2"/>
    <m/>
    <m/>
    <m/>
    <m/>
    <m/>
    <m/>
    <m/>
    <m/>
    <m/>
    <m/>
    <n v="23.449195302014918"/>
    <m/>
    <m/>
    <m/>
    <m/>
    <m/>
    <m/>
    <m/>
    <m/>
    <m/>
    <m/>
    <m/>
    <m/>
  </r>
  <r>
    <x v="27"/>
    <x v="3"/>
    <m/>
    <m/>
    <m/>
    <m/>
    <m/>
    <m/>
    <m/>
    <m/>
    <m/>
    <m/>
    <n v="23.002543962928918"/>
    <m/>
    <m/>
    <m/>
    <m/>
    <m/>
    <m/>
    <m/>
    <m/>
    <m/>
    <m/>
    <m/>
    <m/>
  </r>
  <r>
    <x v="27"/>
    <x v="4"/>
    <m/>
    <m/>
    <m/>
    <m/>
    <m/>
    <m/>
    <m/>
    <m/>
    <m/>
    <m/>
    <n v="22.555892623842926"/>
    <m/>
    <m/>
    <m/>
    <m/>
    <m/>
    <m/>
    <m/>
    <m/>
    <m/>
    <m/>
    <m/>
    <m/>
  </r>
  <r>
    <x v="27"/>
    <x v="5"/>
    <m/>
    <m/>
    <m/>
    <m/>
    <m/>
    <m/>
    <m/>
    <m/>
    <m/>
    <m/>
    <n v="21.885915615213914"/>
    <m/>
    <m/>
    <m/>
    <m/>
    <m/>
    <m/>
    <m/>
    <m/>
    <m/>
    <m/>
    <m/>
    <m/>
  </r>
  <r>
    <x v="27"/>
    <x v="6"/>
    <m/>
    <m/>
    <m/>
    <m/>
    <m/>
    <m/>
    <m/>
    <m/>
    <m/>
    <m/>
    <n v="20.992612937041923"/>
    <m/>
    <m/>
    <m/>
    <m/>
    <m/>
    <m/>
    <m/>
    <m/>
    <m/>
    <m/>
    <m/>
    <m/>
  </r>
  <r>
    <x v="27"/>
    <x v="7"/>
    <m/>
    <m/>
    <m/>
    <m/>
    <m/>
    <m/>
    <m/>
    <m/>
    <m/>
    <m/>
    <n v="144.66980785623824"/>
    <m/>
    <m/>
    <m/>
    <m/>
    <m/>
    <m/>
    <m/>
    <m/>
    <m/>
    <m/>
    <m/>
    <m/>
  </r>
  <r>
    <x v="0"/>
    <x v="0"/>
    <m/>
    <m/>
    <m/>
    <m/>
    <m/>
    <m/>
    <m/>
    <m/>
    <m/>
    <m/>
    <m/>
    <n v="10.965718124559288"/>
    <m/>
    <m/>
    <m/>
    <m/>
    <m/>
    <m/>
    <m/>
    <m/>
    <m/>
    <m/>
    <m/>
  </r>
  <r>
    <x v="0"/>
    <x v="1"/>
    <m/>
    <m/>
    <m/>
    <m/>
    <m/>
    <m/>
    <m/>
    <m/>
    <m/>
    <m/>
    <m/>
    <n v="29.881581889424055"/>
    <m/>
    <m/>
    <m/>
    <m/>
    <m/>
    <m/>
    <m/>
    <m/>
    <m/>
    <m/>
    <m/>
  </r>
  <r>
    <x v="0"/>
    <x v="2"/>
    <m/>
    <m/>
    <m/>
    <m/>
    <m/>
    <m/>
    <m/>
    <m/>
    <m/>
    <m/>
    <m/>
    <n v="28.785010076968131"/>
    <m/>
    <m/>
    <m/>
    <m/>
    <m/>
    <m/>
    <m/>
    <m/>
    <m/>
    <m/>
    <m/>
  </r>
  <r>
    <x v="0"/>
    <x v="3"/>
    <m/>
    <m/>
    <m/>
    <m/>
    <m/>
    <m/>
    <m/>
    <m/>
    <m/>
    <m/>
    <m/>
    <n v="28.236724170740167"/>
    <m/>
    <m/>
    <m/>
    <m/>
    <m/>
    <m/>
    <m/>
    <m/>
    <m/>
    <m/>
    <m/>
  </r>
  <r>
    <x v="0"/>
    <x v="4"/>
    <m/>
    <m/>
    <m/>
    <m/>
    <m/>
    <m/>
    <m/>
    <m/>
    <m/>
    <m/>
    <m/>
    <n v="27.6884382645122"/>
    <m/>
    <m/>
    <m/>
    <m/>
    <m/>
    <m/>
    <m/>
    <m/>
    <m/>
    <m/>
    <m/>
  </r>
  <r>
    <x v="0"/>
    <x v="5"/>
    <m/>
    <m/>
    <m/>
    <m/>
    <m/>
    <m/>
    <m/>
    <m/>
    <m/>
    <m/>
    <m/>
    <n v="26.866009405170253"/>
    <m/>
    <m/>
    <m/>
    <m/>
    <m/>
    <m/>
    <m/>
    <m/>
    <m/>
    <m/>
    <m/>
  </r>
  <r>
    <x v="0"/>
    <x v="6"/>
    <m/>
    <m/>
    <m/>
    <m/>
    <m/>
    <m/>
    <m/>
    <m/>
    <m/>
    <m/>
    <m/>
    <n v="25.769437592714326"/>
    <m/>
    <m/>
    <m/>
    <m/>
    <m/>
    <m/>
    <m/>
    <m/>
    <m/>
    <m/>
    <m/>
  </r>
  <r>
    <x v="0"/>
    <x v="7"/>
    <m/>
    <m/>
    <m/>
    <m/>
    <m/>
    <m/>
    <m/>
    <m/>
    <m/>
    <m/>
    <m/>
    <n v="178.34054189036459"/>
    <m/>
    <m/>
    <m/>
    <m/>
    <m/>
    <m/>
    <m/>
    <m/>
    <m/>
    <m/>
    <m/>
  </r>
  <r>
    <x v="1"/>
    <x v="0"/>
    <m/>
    <m/>
    <m/>
    <m/>
    <m/>
    <m/>
    <m/>
    <m/>
    <m/>
    <m/>
    <m/>
    <n v="23.2274293325736"/>
    <m/>
    <m/>
    <m/>
    <m/>
    <m/>
    <m/>
    <m/>
    <m/>
    <m/>
    <m/>
    <m/>
  </r>
  <r>
    <x v="1"/>
    <x v="1"/>
    <m/>
    <m/>
    <m/>
    <m/>
    <m/>
    <m/>
    <m/>
    <m/>
    <m/>
    <m/>
    <m/>
    <n v="63.294744931263061"/>
    <m/>
    <m/>
    <m/>
    <m/>
    <m/>
    <m/>
    <m/>
    <m/>
    <m/>
    <m/>
    <m/>
  </r>
  <r>
    <x v="1"/>
    <x v="2"/>
    <m/>
    <m/>
    <m/>
    <m/>
    <m/>
    <m/>
    <m/>
    <m/>
    <m/>
    <m/>
    <m/>
    <n v="60.972001998005702"/>
    <m/>
    <m/>
    <m/>
    <m/>
    <m/>
    <m/>
    <m/>
    <m/>
    <m/>
    <m/>
    <m/>
  </r>
  <r>
    <x v="1"/>
    <x v="3"/>
    <m/>
    <m/>
    <m/>
    <m/>
    <m/>
    <m/>
    <m/>
    <m/>
    <m/>
    <m/>
    <m/>
    <n v="59.810630531377015"/>
    <m/>
    <m/>
    <m/>
    <m/>
    <m/>
    <m/>
    <m/>
    <m/>
    <m/>
    <m/>
    <m/>
  </r>
  <r>
    <x v="1"/>
    <x v="4"/>
    <m/>
    <m/>
    <m/>
    <m/>
    <m/>
    <m/>
    <m/>
    <m/>
    <m/>
    <m/>
    <m/>
    <n v="58.649259064748342"/>
    <m/>
    <m/>
    <m/>
    <m/>
    <m/>
    <m/>
    <m/>
    <m/>
    <m/>
    <m/>
    <m/>
  </r>
  <r>
    <x v="1"/>
    <x v="5"/>
    <m/>
    <m/>
    <m/>
    <m/>
    <m/>
    <m/>
    <m/>
    <m/>
    <m/>
    <m/>
    <m/>
    <n v="56.907201864805316"/>
    <m/>
    <m/>
    <m/>
    <m/>
    <m/>
    <m/>
    <m/>
    <m/>
    <m/>
    <m/>
    <m/>
  </r>
  <r>
    <x v="1"/>
    <x v="6"/>
    <m/>
    <m/>
    <m/>
    <m/>
    <m/>
    <m/>
    <m/>
    <m/>
    <m/>
    <m/>
    <m/>
    <n v="54.584458931547957"/>
    <m/>
    <m/>
    <m/>
    <m/>
    <m/>
    <m/>
    <m/>
    <m/>
    <m/>
    <m/>
    <m/>
  </r>
  <r>
    <x v="1"/>
    <x v="7"/>
    <m/>
    <m/>
    <m/>
    <m/>
    <m/>
    <m/>
    <m/>
    <m/>
    <m/>
    <m/>
    <m/>
    <n v="377.95351386110633"/>
    <m/>
    <m/>
    <m/>
    <m/>
    <m/>
    <m/>
    <m/>
    <m/>
    <m/>
    <m/>
    <m/>
  </r>
  <r>
    <x v="2"/>
    <x v="0"/>
    <m/>
    <m/>
    <m/>
    <m/>
    <m/>
    <m/>
    <m/>
    <m/>
    <m/>
    <m/>
    <m/>
    <n v="39.876754427958673"/>
    <m/>
    <m/>
    <m/>
    <m/>
    <m/>
    <m/>
    <m/>
    <m/>
    <m/>
    <m/>
    <m/>
  </r>
  <r>
    <x v="2"/>
    <x v="1"/>
    <m/>
    <m/>
    <m/>
    <m/>
    <m/>
    <m/>
    <m/>
    <m/>
    <m/>
    <m/>
    <m/>
    <n v="108.66415581618739"/>
    <m/>
    <m/>
    <m/>
    <m/>
    <m/>
    <m/>
    <m/>
    <m/>
    <m/>
    <m/>
    <m/>
  </r>
  <r>
    <x v="2"/>
    <x v="2"/>
    <m/>
    <m/>
    <m/>
    <m/>
    <m/>
    <m/>
    <m/>
    <m/>
    <m/>
    <m/>
    <m/>
    <n v="104.67648037339153"/>
    <m/>
    <m/>
    <m/>
    <m/>
    <m/>
    <m/>
    <m/>
    <m/>
    <m/>
    <m/>
    <m/>
  </r>
  <r>
    <x v="2"/>
    <x v="3"/>
    <m/>
    <m/>
    <m/>
    <m/>
    <m/>
    <m/>
    <m/>
    <m/>
    <m/>
    <m/>
    <m/>
    <n v="102.68264265199359"/>
    <m/>
    <m/>
    <m/>
    <m/>
    <m/>
    <m/>
    <m/>
    <m/>
    <m/>
    <m/>
    <m/>
  </r>
  <r>
    <x v="2"/>
    <x v="4"/>
    <m/>
    <m/>
    <m/>
    <m/>
    <m/>
    <m/>
    <m/>
    <m/>
    <m/>
    <m/>
    <m/>
    <n v="100.68880493059567"/>
    <m/>
    <m/>
    <m/>
    <m/>
    <m/>
    <m/>
    <m/>
    <m/>
    <m/>
    <m/>
    <m/>
  </r>
  <r>
    <x v="2"/>
    <x v="5"/>
    <m/>
    <m/>
    <m/>
    <m/>
    <m/>
    <m/>
    <m/>
    <m/>
    <m/>
    <m/>
    <m/>
    <n v="97.698048348498759"/>
    <m/>
    <m/>
    <m/>
    <m/>
    <m/>
    <m/>
    <m/>
    <m/>
    <m/>
    <m/>
    <m/>
  </r>
  <r>
    <x v="2"/>
    <x v="6"/>
    <m/>
    <m/>
    <m/>
    <m/>
    <m/>
    <m/>
    <m/>
    <m/>
    <m/>
    <m/>
    <m/>
    <n v="93.710372905702883"/>
    <m/>
    <m/>
    <m/>
    <m/>
    <m/>
    <m/>
    <m/>
    <m/>
    <m/>
    <m/>
    <m/>
  </r>
  <r>
    <x v="2"/>
    <x v="7"/>
    <m/>
    <m/>
    <m/>
    <m/>
    <m/>
    <m/>
    <m/>
    <m/>
    <m/>
    <m/>
    <m/>
    <n v="647.21792274620566"/>
    <m/>
    <m/>
    <m/>
    <m/>
    <m/>
    <m/>
    <m/>
    <m/>
    <m/>
    <m/>
    <m/>
  </r>
  <r>
    <x v="3"/>
    <x v="0"/>
    <m/>
    <m/>
    <m/>
    <m/>
    <m/>
    <m/>
    <m/>
    <m/>
    <m/>
    <m/>
    <m/>
    <n v="48.536835067369395"/>
    <m/>
    <m/>
    <m/>
    <m/>
    <m/>
    <m/>
    <m/>
    <m/>
    <m/>
    <m/>
    <m/>
  </r>
  <r>
    <x v="3"/>
    <x v="1"/>
    <m/>
    <m/>
    <m/>
    <m/>
    <m/>
    <m/>
    <m/>
    <m/>
    <m/>
    <m/>
    <m/>
    <n v="132.26287555858158"/>
    <m/>
    <m/>
    <m/>
    <m/>
    <m/>
    <m/>
    <m/>
    <m/>
    <m/>
    <m/>
    <m/>
  </r>
  <r>
    <x v="3"/>
    <x v="2"/>
    <m/>
    <m/>
    <m/>
    <m/>
    <m/>
    <m/>
    <m/>
    <m/>
    <m/>
    <m/>
    <m/>
    <n v="127.40919205184466"/>
    <m/>
    <m/>
    <m/>
    <m/>
    <m/>
    <m/>
    <m/>
    <m/>
    <m/>
    <m/>
    <m/>
  </r>
  <r>
    <x v="3"/>
    <x v="3"/>
    <m/>
    <m/>
    <m/>
    <m/>
    <m/>
    <m/>
    <m/>
    <m/>
    <m/>
    <m/>
    <m/>
    <n v="124.98235029847618"/>
    <m/>
    <m/>
    <m/>
    <m/>
    <m/>
    <m/>
    <m/>
    <m/>
    <m/>
    <m/>
    <m/>
  </r>
  <r>
    <x v="3"/>
    <x v="4"/>
    <m/>
    <m/>
    <m/>
    <m/>
    <m/>
    <m/>
    <m/>
    <m/>
    <m/>
    <m/>
    <m/>
    <n v="122.55550854510771"/>
    <m/>
    <m/>
    <m/>
    <m/>
    <m/>
    <m/>
    <m/>
    <m/>
    <m/>
    <m/>
    <m/>
  </r>
  <r>
    <x v="3"/>
    <x v="5"/>
    <m/>
    <m/>
    <m/>
    <m/>
    <m/>
    <m/>
    <m/>
    <m/>
    <m/>
    <m/>
    <m/>
    <n v="118.91524591505501"/>
    <m/>
    <m/>
    <m/>
    <m/>
    <m/>
    <m/>
    <m/>
    <m/>
    <m/>
    <m/>
    <m/>
  </r>
  <r>
    <x v="3"/>
    <x v="6"/>
    <m/>
    <m/>
    <m/>
    <m/>
    <m/>
    <m/>
    <m/>
    <m/>
    <m/>
    <m/>
    <m/>
    <n v="114.06156240831807"/>
    <m/>
    <m/>
    <m/>
    <m/>
    <m/>
    <m/>
    <m/>
    <m/>
    <m/>
    <m/>
    <m/>
  </r>
  <r>
    <x v="3"/>
    <x v="7"/>
    <m/>
    <m/>
    <m/>
    <m/>
    <m/>
    <m/>
    <m/>
    <m/>
    <m/>
    <m/>
    <m/>
    <n v="790.01949022145061"/>
    <m/>
    <m/>
    <m/>
    <m/>
    <m/>
    <m/>
    <m/>
    <m/>
    <m/>
    <m/>
    <m/>
  </r>
  <r>
    <x v="4"/>
    <x v="0"/>
    <m/>
    <m/>
    <m/>
    <m/>
    <m/>
    <m/>
    <m/>
    <m/>
    <m/>
    <m/>
    <m/>
    <n v="24.795130236421571"/>
    <m/>
    <m/>
    <m/>
    <m/>
    <m/>
    <m/>
    <m/>
    <m/>
    <m/>
    <m/>
    <m/>
  </r>
  <r>
    <x v="4"/>
    <x v="1"/>
    <m/>
    <m/>
    <m/>
    <m/>
    <m/>
    <m/>
    <m/>
    <m/>
    <m/>
    <m/>
    <m/>
    <n v="67.56672989424878"/>
    <m/>
    <m/>
    <m/>
    <m/>
    <m/>
    <m/>
    <m/>
    <m/>
    <m/>
    <m/>
    <m/>
  </r>
  <r>
    <x v="4"/>
    <x v="2"/>
    <m/>
    <m/>
    <m/>
    <m/>
    <m/>
    <m/>
    <m/>
    <m/>
    <m/>
    <m/>
    <m/>
    <n v="65.087216870606625"/>
    <m/>
    <m/>
    <m/>
    <m/>
    <m/>
    <m/>
    <m/>
    <m/>
    <m/>
    <m/>
    <m/>
  </r>
  <r>
    <x v="4"/>
    <x v="3"/>
    <m/>
    <m/>
    <m/>
    <m/>
    <m/>
    <m/>
    <m/>
    <m/>
    <m/>
    <m/>
    <m/>
    <n v="63.847460358785554"/>
    <m/>
    <m/>
    <m/>
    <m/>
    <m/>
    <m/>
    <m/>
    <m/>
    <m/>
    <m/>
    <m/>
  </r>
  <r>
    <x v="4"/>
    <x v="4"/>
    <m/>
    <m/>
    <m/>
    <m/>
    <m/>
    <m/>
    <m/>
    <m/>
    <m/>
    <m/>
    <m/>
    <n v="62.607703846964469"/>
    <m/>
    <m/>
    <m/>
    <m/>
    <m/>
    <m/>
    <m/>
    <m/>
    <m/>
    <m/>
    <m/>
  </r>
  <r>
    <x v="4"/>
    <x v="5"/>
    <m/>
    <m/>
    <m/>
    <m/>
    <m/>
    <m/>
    <m/>
    <m/>
    <m/>
    <m/>
    <m/>
    <n v="60.748069079232856"/>
    <m/>
    <m/>
    <m/>
    <m/>
    <m/>
    <m/>
    <m/>
    <m/>
    <m/>
    <m/>
    <m/>
  </r>
  <r>
    <x v="4"/>
    <x v="6"/>
    <m/>
    <m/>
    <m/>
    <m/>
    <m/>
    <m/>
    <m/>
    <m/>
    <m/>
    <m/>
    <m/>
    <n v="58.268556055590693"/>
    <m/>
    <m/>
    <m/>
    <m/>
    <m/>
    <m/>
    <m/>
    <m/>
    <m/>
    <m/>
    <m/>
  </r>
  <r>
    <x v="4"/>
    <x v="7"/>
    <m/>
    <m/>
    <m/>
    <m/>
    <m/>
    <m/>
    <m/>
    <m/>
    <m/>
    <m/>
    <m/>
    <n v="406.40119553269767"/>
    <m/>
    <m/>
    <m/>
    <m/>
    <m/>
    <m/>
    <m/>
    <m/>
    <m/>
    <m/>
    <m/>
  </r>
  <r>
    <x v="5"/>
    <x v="0"/>
    <m/>
    <m/>
    <m/>
    <m/>
    <m/>
    <m/>
    <m/>
    <m/>
    <m/>
    <m/>
    <m/>
    <n v="36.721735432392599"/>
    <m/>
    <m/>
    <m/>
    <m/>
    <m/>
    <m/>
    <m/>
    <m/>
    <m/>
    <m/>
    <m/>
  </r>
  <r>
    <x v="5"/>
    <x v="1"/>
    <m/>
    <m/>
    <m/>
    <m/>
    <m/>
    <m/>
    <m/>
    <m/>
    <m/>
    <m/>
    <m/>
    <n v="100.06672905326984"/>
    <m/>
    <m/>
    <m/>
    <m/>
    <m/>
    <m/>
    <m/>
    <m/>
    <m/>
    <m/>
    <m/>
  </r>
  <r>
    <x v="5"/>
    <x v="2"/>
    <m/>
    <m/>
    <m/>
    <m/>
    <m/>
    <m/>
    <m/>
    <m/>
    <m/>
    <m/>
    <m/>
    <n v="96.394555510030571"/>
    <m/>
    <m/>
    <m/>
    <m/>
    <m/>
    <m/>
    <m/>
    <m/>
    <m/>
    <m/>
    <m/>
  </r>
  <r>
    <x v="5"/>
    <x v="3"/>
    <m/>
    <m/>
    <m/>
    <m/>
    <m/>
    <m/>
    <m/>
    <m/>
    <m/>
    <m/>
    <m/>
    <n v="94.558468738410951"/>
    <m/>
    <m/>
    <m/>
    <m/>
    <m/>
    <m/>
    <m/>
    <m/>
    <m/>
    <m/>
    <m/>
  </r>
  <r>
    <x v="5"/>
    <x v="4"/>
    <m/>
    <m/>
    <m/>
    <m/>
    <m/>
    <m/>
    <m/>
    <m/>
    <m/>
    <m/>
    <m/>
    <n v="92.722381966791303"/>
    <m/>
    <m/>
    <m/>
    <m/>
    <m/>
    <m/>
    <m/>
    <m/>
    <m/>
    <m/>
    <m/>
  </r>
  <r>
    <x v="5"/>
    <x v="5"/>
    <m/>
    <m/>
    <m/>
    <m/>
    <m/>
    <m/>
    <m/>
    <m/>
    <m/>
    <m/>
    <m/>
    <n v="89.968251809361874"/>
    <m/>
    <m/>
    <m/>
    <m/>
    <m/>
    <m/>
    <m/>
    <m/>
    <m/>
    <m/>
    <m/>
  </r>
  <r>
    <x v="5"/>
    <x v="6"/>
    <m/>
    <m/>
    <m/>
    <m/>
    <m/>
    <m/>
    <m/>
    <m/>
    <m/>
    <m/>
    <m/>
    <n v="86.296078266122606"/>
    <m/>
    <m/>
    <m/>
    <m/>
    <m/>
    <m/>
    <m/>
    <m/>
    <m/>
    <m/>
    <m/>
  </r>
  <r>
    <x v="5"/>
    <x v="7"/>
    <m/>
    <m/>
    <m/>
    <m/>
    <m/>
    <m/>
    <m/>
    <m/>
    <m/>
    <m/>
    <m/>
    <n v="597.35341639624039"/>
    <m/>
    <m/>
    <m/>
    <m/>
    <m/>
    <m/>
    <m/>
    <m/>
    <m/>
    <m/>
    <m/>
  </r>
  <r>
    <x v="6"/>
    <x v="0"/>
    <m/>
    <m/>
    <m/>
    <m/>
    <m/>
    <m/>
    <m/>
    <m/>
    <m/>
    <m/>
    <m/>
    <n v="9.3481787706203328"/>
    <m/>
    <m/>
    <m/>
    <m/>
    <m/>
    <m/>
    <m/>
    <m/>
    <m/>
    <m/>
    <m/>
  </r>
  <r>
    <x v="6"/>
    <x v="1"/>
    <m/>
    <m/>
    <m/>
    <m/>
    <m/>
    <m/>
    <m/>
    <m/>
    <m/>
    <m/>
    <m/>
    <n v="25.473787149940406"/>
    <m/>
    <m/>
    <m/>
    <m/>
    <m/>
    <m/>
    <m/>
    <m/>
    <m/>
    <m/>
    <m/>
  </r>
  <r>
    <x v="6"/>
    <x v="2"/>
    <m/>
    <m/>
    <m/>
    <m/>
    <m/>
    <m/>
    <m/>
    <m/>
    <m/>
    <m/>
    <m/>
    <n v="24.538969272878372"/>
    <m/>
    <m/>
    <m/>
    <m/>
    <m/>
    <m/>
    <m/>
    <m/>
    <m/>
    <m/>
    <m/>
  </r>
  <r>
    <x v="6"/>
    <x v="3"/>
    <m/>
    <m/>
    <m/>
    <m/>
    <m/>
    <m/>
    <m/>
    <m/>
    <m/>
    <m/>
    <m/>
    <n v="24.071560334347357"/>
    <m/>
    <m/>
    <m/>
    <m/>
    <m/>
    <m/>
    <m/>
    <m/>
    <m/>
    <m/>
    <m/>
  </r>
  <r>
    <x v="6"/>
    <x v="4"/>
    <m/>
    <m/>
    <m/>
    <m/>
    <m/>
    <m/>
    <m/>
    <m/>
    <m/>
    <m/>
    <m/>
    <n v="23.604151395816341"/>
    <m/>
    <m/>
    <m/>
    <m/>
    <m/>
    <m/>
    <m/>
    <m/>
    <m/>
    <m/>
    <m/>
  </r>
  <r>
    <x v="6"/>
    <x v="5"/>
    <m/>
    <m/>
    <m/>
    <m/>
    <m/>
    <m/>
    <m/>
    <m/>
    <m/>
    <m/>
    <m/>
    <n v="22.903037988019815"/>
    <m/>
    <m/>
    <m/>
    <m/>
    <m/>
    <m/>
    <m/>
    <m/>
    <m/>
    <m/>
    <m/>
  </r>
  <r>
    <x v="6"/>
    <x v="6"/>
    <m/>
    <m/>
    <m/>
    <m/>
    <m/>
    <m/>
    <m/>
    <m/>
    <m/>
    <m/>
    <m/>
    <n v="21.96822011095778"/>
    <m/>
    <m/>
    <m/>
    <m/>
    <m/>
    <m/>
    <m/>
    <m/>
    <m/>
    <m/>
    <m/>
  </r>
  <r>
    <x v="6"/>
    <x v="7"/>
    <m/>
    <m/>
    <m/>
    <m/>
    <m/>
    <m/>
    <m/>
    <m/>
    <m/>
    <m/>
    <m/>
    <n v="151.91515567736633"/>
    <m/>
    <m/>
    <m/>
    <m/>
    <m/>
    <m/>
    <m/>
    <m/>
    <m/>
    <m/>
    <m/>
  </r>
  <r>
    <x v="7"/>
    <x v="0"/>
    <m/>
    <m/>
    <m/>
    <m/>
    <m/>
    <m/>
    <m/>
    <m/>
    <m/>
    <m/>
    <m/>
    <n v="17.455347239798087"/>
    <m/>
    <m/>
    <m/>
    <m/>
    <m/>
    <m/>
    <m/>
    <m/>
    <m/>
    <m/>
    <m/>
  </r>
  <r>
    <x v="7"/>
    <x v="1"/>
    <m/>
    <m/>
    <m/>
    <m/>
    <m/>
    <m/>
    <m/>
    <m/>
    <m/>
    <m/>
    <m/>
    <n v="47.565821228449785"/>
    <m/>
    <m/>
    <m/>
    <m/>
    <m/>
    <m/>
    <m/>
    <m/>
    <m/>
    <m/>
    <m/>
  </r>
  <r>
    <x v="7"/>
    <x v="2"/>
    <m/>
    <m/>
    <m/>
    <m/>
    <m/>
    <m/>
    <m/>
    <m/>
    <m/>
    <m/>
    <m/>
    <n v="45.820286504469983"/>
    <m/>
    <m/>
    <m/>
    <m/>
    <m/>
    <m/>
    <m/>
    <m/>
    <m/>
    <m/>
    <m/>
  </r>
  <r>
    <x v="7"/>
    <x v="3"/>
    <m/>
    <m/>
    <m/>
    <m/>
    <m/>
    <m/>
    <m/>
    <m/>
    <m/>
    <m/>
    <m/>
    <n v="44.947519142480068"/>
    <m/>
    <m/>
    <m/>
    <m/>
    <m/>
    <m/>
    <m/>
    <m/>
    <m/>
    <m/>
    <m/>
  </r>
  <r>
    <x v="7"/>
    <x v="4"/>
    <m/>
    <m/>
    <m/>
    <m/>
    <m/>
    <m/>
    <m/>
    <m/>
    <m/>
    <m/>
    <m/>
    <n v="44.074751780490168"/>
    <m/>
    <m/>
    <m/>
    <m/>
    <m/>
    <m/>
    <m/>
    <m/>
    <m/>
    <m/>
    <m/>
  </r>
  <r>
    <x v="7"/>
    <x v="5"/>
    <m/>
    <m/>
    <m/>
    <m/>
    <m/>
    <m/>
    <m/>
    <m/>
    <m/>
    <m/>
    <m/>
    <n v="42.765600737505309"/>
    <m/>
    <m/>
    <m/>
    <m/>
    <m/>
    <m/>
    <m/>
    <m/>
    <m/>
    <m/>
    <m/>
  </r>
  <r>
    <x v="7"/>
    <x v="6"/>
    <m/>
    <m/>
    <m/>
    <m/>
    <m/>
    <m/>
    <m/>
    <m/>
    <m/>
    <m/>
    <m/>
    <n v="41.020066013525501"/>
    <m/>
    <m/>
    <m/>
    <m/>
    <m/>
    <m/>
    <m/>
    <m/>
    <m/>
    <m/>
    <m/>
  </r>
  <r>
    <x v="7"/>
    <x v="7"/>
    <m/>
    <m/>
    <m/>
    <m/>
    <m/>
    <m/>
    <m/>
    <m/>
    <m/>
    <m/>
    <m/>
    <n v="280.25548745337102"/>
    <m/>
    <m/>
    <m/>
    <m/>
    <m/>
    <m/>
    <m/>
    <m/>
    <m/>
    <m/>
    <m/>
  </r>
  <r>
    <x v="8"/>
    <x v="0"/>
    <m/>
    <m/>
    <m/>
    <m/>
    <m/>
    <m/>
    <m/>
    <m/>
    <m/>
    <m/>
    <m/>
    <n v="20.099294584869511"/>
    <m/>
    <m/>
    <m/>
    <m/>
    <m/>
    <m/>
    <m/>
    <m/>
    <m/>
    <m/>
    <m/>
  </r>
  <r>
    <x v="8"/>
    <x v="1"/>
    <m/>
    <m/>
    <m/>
    <m/>
    <m/>
    <m/>
    <m/>
    <m/>
    <m/>
    <m/>
    <m/>
    <n v="54.770577743769408"/>
    <m/>
    <m/>
    <m/>
    <m/>
    <m/>
    <m/>
    <m/>
    <m/>
    <m/>
    <m/>
    <m/>
  </r>
  <r>
    <x v="8"/>
    <x v="2"/>
    <m/>
    <m/>
    <m/>
    <m/>
    <m/>
    <m/>
    <m/>
    <m/>
    <m/>
    <m/>
    <m/>
    <n v="52.760648285282464"/>
    <m/>
    <m/>
    <m/>
    <m/>
    <m/>
    <m/>
    <m/>
    <m/>
    <m/>
    <m/>
    <m/>
  </r>
  <r>
    <x v="8"/>
    <x v="3"/>
    <m/>
    <m/>
    <m/>
    <m/>
    <m/>
    <m/>
    <m/>
    <m/>
    <m/>
    <m/>
    <m/>
    <n v="51.755683556038989"/>
    <m/>
    <m/>
    <m/>
    <m/>
    <m/>
    <m/>
    <m/>
    <m/>
    <m/>
    <m/>
    <m/>
  </r>
  <r>
    <x v="8"/>
    <x v="4"/>
    <m/>
    <m/>
    <m/>
    <m/>
    <m/>
    <m/>
    <m/>
    <m/>
    <m/>
    <m/>
    <m/>
    <n v="50.750718826795513"/>
    <m/>
    <m/>
    <m/>
    <m/>
    <m/>
    <m/>
    <m/>
    <m/>
    <m/>
    <m/>
    <m/>
  </r>
  <r>
    <x v="8"/>
    <x v="5"/>
    <m/>
    <m/>
    <m/>
    <m/>
    <m/>
    <m/>
    <m/>
    <m/>
    <m/>
    <m/>
    <m/>
    <n v="49.243271732930296"/>
    <m/>
    <m/>
    <m/>
    <m/>
    <m/>
    <m/>
    <m/>
    <m/>
    <m/>
    <m/>
    <m/>
  </r>
  <r>
    <x v="8"/>
    <x v="6"/>
    <m/>
    <m/>
    <m/>
    <m/>
    <m/>
    <m/>
    <m/>
    <m/>
    <m/>
    <m/>
    <m/>
    <n v="47.233342274443345"/>
    <m/>
    <m/>
    <m/>
    <m/>
    <m/>
    <m/>
    <m/>
    <m/>
    <m/>
    <m/>
    <m/>
  </r>
  <r>
    <x v="8"/>
    <x v="7"/>
    <m/>
    <m/>
    <m/>
    <m/>
    <m/>
    <m/>
    <m/>
    <m/>
    <m/>
    <m/>
    <m/>
    <n v="196.5655815510984"/>
    <m/>
    <m/>
    <m/>
    <m/>
    <m/>
    <m/>
    <m/>
    <m/>
    <m/>
    <m/>
    <m/>
  </r>
  <r>
    <x v="9"/>
    <x v="0"/>
    <m/>
    <m/>
    <m/>
    <m/>
    <m/>
    <m/>
    <m/>
    <m/>
    <m/>
    <m/>
    <m/>
    <n v="16.035077747884749"/>
    <m/>
    <m/>
    <m/>
    <m/>
    <m/>
    <m/>
    <m/>
    <m/>
    <m/>
    <m/>
    <m/>
  </r>
  <r>
    <x v="9"/>
    <x v="1"/>
    <m/>
    <m/>
    <m/>
    <m/>
    <m/>
    <m/>
    <m/>
    <m/>
    <m/>
    <m/>
    <m/>
    <n v="43.695586862985934"/>
    <m/>
    <m/>
    <m/>
    <m/>
    <m/>
    <m/>
    <m/>
    <m/>
    <m/>
    <m/>
    <m/>
  </r>
  <r>
    <x v="9"/>
    <x v="2"/>
    <m/>
    <m/>
    <m/>
    <m/>
    <m/>
    <m/>
    <m/>
    <m/>
    <m/>
    <m/>
    <m/>
    <n v="42.092079088197465"/>
    <m/>
    <m/>
    <m/>
    <m/>
    <m/>
    <m/>
    <m/>
    <m/>
    <m/>
    <m/>
    <m/>
  </r>
  <r>
    <x v="9"/>
    <x v="3"/>
    <m/>
    <m/>
    <m/>
    <m/>
    <m/>
    <m/>
    <m/>
    <m/>
    <m/>
    <m/>
    <m/>
    <n v="41.290325200803224"/>
    <m/>
    <m/>
    <m/>
    <m/>
    <m/>
    <m/>
    <m/>
    <m/>
    <m/>
    <m/>
    <m/>
  </r>
  <r>
    <x v="9"/>
    <x v="4"/>
    <m/>
    <m/>
    <m/>
    <m/>
    <m/>
    <m/>
    <m/>
    <m/>
    <m/>
    <m/>
    <m/>
    <n v="40.48857131340899"/>
    <m/>
    <m/>
    <m/>
    <m/>
    <m/>
    <m/>
    <m/>
    <m/>
    <m/>
    <m/>
    <m/>
  </r>
  <r>
    <x v="9"/>
    <x v="5"/>
    <m/>
    <m/>
    <m/>
    <m/>
    <m/>
    <m/>
    <m/>
    <m/>
    <m/>
    <m/>
    <m/>
    <n v="39.285940482317628"/>
    <m/>
    <m/>
    <m/>
    <m/>
    <m/>
    <m/>
    <m/>
    <m/>
    <m/>
    <m/>
    <m/>
  </r>
  <r>
    <x v="9"/>
    <x v="6"/>
    <m/>
    <m/>
    <m/>
    <m/>
    <m/>
    <m/>
    <m/>
    <m/>
    <m/>
    <m/>
    <m/>
    <n v="37.682432707529152"/>
    <m/>
    <m/>
    <m/>
    <m/>
    <m/>
    <m/>
    <m/>
    <m/>
    <m/>
    <m/>
    <m/>
  </r>
  <r>
    <x v="9"/>
    <x v="7"/>
    <m/>
    <m/>
    <m/>
    <m/>
    <m/>
    <m/>
    <m/>
    <m/>
    <m/>
    <m/>
    <m/>
    <n v="260.68913716204958"/>
    <m/>
    <m/>
    <m/>
    <m/>
    <m/>
    <m/>
    <m/>
    <m/>
    <m/>
    <m/>
    <m/>
  </r>
  <r>
    <x v="10"/>
    <x v="0"/>
    <m/>
    <m/>
    <m/>
    <m/>
    <m/>
    <m/>
    <m/>
    <m/>
    <m/>
    <m/>
    <m/>
    <n v="9.1928184685852141"/>
    <m/>
    <m/>
    <m/>
    <m/>
    <m/>
    <m/>
    <m/>
    <m/>
    <m/>
    <m/>
    <m/>
  </r>
  <r>
    <x v="10"/>
    <x v="1"/>
    <m/>
    <m/>
    <m/>
    <m/>
    <m/>
    <m/>
    <m/>
    <m/>
    <m/>
    <m/>
    <m/>
    <n v="25.050430326894709"/>
    <m/>
    <m/>
    <m/>
    <m/>
    <m/>
    <m/>
    <m/>
    <m/>
    <m/>
    <m/>
    <m/>
  </r>
  <r>
    <x v="10"/>
    <x v="2"/>
    <m/>
    <m/>
    <m/>
    <m/>
    <m/>
    <m/>
    <m/>
    <m/>
    <m/>
    <m/>
    <m/>
    <n v="24.131148480036192"/>
    <m/>
    <m/>
    <m/>
    <m/>
    <m/>
    <m/>
    <m/>
    <m/>
    <m/>
    <m/>
    <m/>
  </r>
  <r>
    <x v="10"/>
    <x v="3"/>
    <m/>
    <m/>
    <m/>
    <m/>
    <m/>
    <m/>
    <m/>
    <m/>
    <m/>
    <m/>
    <m/>
    <n v="23.671507556606926"/>
    <m/>
    <m/>
    <m/>
    <m/>
    <m/>
    <m/>
    <m/>
    <m/>
    <m/>
    <m/>
    <m/>
  </r>
  <r>
    <x v="10"/>
    <x v="4"/>
    <m/>
    <m/>
    <m/>
    <m/>
    <m/>
    <m/>
    <m/>
    <m/>
    <m/>
    <m/>
    <m/>
    <n v="23.211866633177667"/>
    <m/>
    <m/>
    <m/>
    <m/>
    <m/>
    <m/>
    <m/>
    <m/>
    <m/>
    <m/>
    <m/>
  </r>
  <r>
    <x v="10"/>
    <x v="5"/>
    <m/>
    <m/>
    <m/>
    <m/>
    <m/>
    <m/>
    <m/>
    <m/>
    <m/>
    <m/>
    <m/>
    <n v="22.522405248033774"/>
    <m/>
    <m/>
    <m/>
    <m/>
    <m/>
    <m/>
    <m/>
    <m/>
    <m/>
    <m/>
    <m/>
  </r>
  <r>
    <x v="10"/>
    <x v="6"/>
    <m/>
    <m/>
    <m/>
    <m/>
    <m/>
    <m/>
    <m/>
    <m/>
    <m/>
    <m/>
    <m/>
    <n v="21.603123401175257"/>
    <m/>
    <m/>
    <m/>
    <m/>
    <m/>
    <m/>
    <m/>
    <m/>
    <m/>
    <m/>
    <m/>
  </r>
  <r>
    <x v="10"/>
    <x v="7"/>
    <m/>
    <m/>
    <m/>
    <m/>
    <m/>
    <m/>
    <m/>
    <m/>
    <m/>
    <m/>
    <m/>
    <n v="149.41628633581007"/>
    <m/>
    <m/>
    <m/>
    <m/>
    <m/>
    <m/>
    <m/>
    <m/>
    <m/>
    <m/>
    <m/>
  </r>
  <r>
    <x v="11"/>
    <x v="0"/>
    <m/>
    <m/>
    <m/>
    <m/>
    <m/>
    <m/>
    <m/>
    <m/>
    <m/>
    <m/>
    <m/>
    <n v="40.736960298785753"/>
    <m/>
    <m/>
    <m/>
    <m/>
    <m/>
    <m/>
    <m/>
    <m/>
    <m/>
    <m/>
    <m/>
  </r>
  <r>
    <x v="11"/>
    <x v="1"/>
    <m/>
    <m/>
    <m/>
    <m/>
    <m/>
    <m/>
    <m/>
    <m/>
    <m/>
    <m/>
    <m/>
    <n v="111.00821681419119"/>
    <m/>
    <m/>
    <m/>
    <m/>
    <m/>
    <m/>
    <m/>
    <m/>
    <m/>
    <m/>
    <m/>
  </r>
  <r>
    <x v="11"/>
    <x v="2"/>
    <m/>
    <m/>
    <m/>
    <m/>
    <m/>
    <m/>
    <m/>
    <m/>
    <m/>
    <m/>
    <m/>
    <n v="106.93452078431262"/>
    <m/>
    <m/>
    <m/>
    <m/>
    <m/>
    <m/>
    <m/>
    <m/>
    <m/>
    <m/>
    <m/>
  </r>
  <r>
    <x v="11"/>
    <x v="3"/>
    <m/>
    <m/>
    <m/>
    <m/>
    <m/>
    <m/>
    <m/>
    <m/>
    <m/>
    <m/>
    <m/>
    <n v="104.89767276937332"/>
    <m/>
    <m/>
    <m/>
    <m/>
    <m/>
    <m/>
    <m/>
    <m/>
    <m/>
    <m/>
    <m/>
  </r>
  <r>
    <x v="11"/>
    <x v="4"/>
    <m/>
    <m/>
    <m/>
    <m/>
    <m/>
    <m/>
    <m/>
    <m/>
    <m/>
    <m/>
    <m/>
    <n v="102.86082475443403"/>
    <m/>
    <m/>
    <m/>
    <m/>
    <m/>
    <m/>
    <m/>
    <m/>
    <m/>
    <m/>
    <m/>
  </r>
  <r>
    <x v="11"/>
    <x v="5"/>
    <m/>
    <m/>
    <m/>
    <m/>
    <m/>
    <m/>
    <m/>
    <m/>
    <m/>
    <m/>
    <m/>
    <n v="99.80555273202512"/>
    <m/>
    <m/>
    <m/>
    <m/>
    <m/>
    <m/>
    <m/>
    <m/>
    <m/>
    <m/>
    <m/>
  </r>
  <r>
    <x v="11"/>
    <x v="6"/>
    <m/>
    <m/>
    <m/>
    <m/>
    <m/>
    <m/>
    <m/>
    <m/>
    <m/>
    <m/>
    <m/>
    <n v="95.73185670214653"/>
    <m/>
    <m/>
    <m/>
    <m/>
    <m/>
    <m/>
    <m/>
    <m/>
    <m/>
    <m/>
    <m/>
  </r>
  <r>
    <x v="11"/>
    <x v="7"/>
    <m/>
    <m/>
    <m/>
    <m/>
    <m/>
    <m/>
    <m/>
    <m/>
    <m/>
    <m/>
    <m/>
    <n v="661.76225390679679"/>
    <m/>
    <m/>
    <m/>
    <m/>
    <m/>
    <m/>
    <m/>
    <m/>
    <m/>
    <m/>
    <m/>
  </r>
  <r>
    <x v="12"/>
    <x v="0"/>
    <m/>
    <m/>
    <m/>
    <m/>
    <m/>
    <m/>
    <m/>
    <m/>
    <m/>
    <m/>
    <m/>
    <n v="45.805697260593547"/>
    <m/>
    <m/>
    <m/>
    <m/>
    <m/>
    <m/>
    <m/>
    <m/>
    <m/>
    <m/>
    <m/>
  </r>
  <r>
    <x v="12"/>
    <x v="1"/>
    <m/>
    <m/>
    <m/>
    <m/>
    <m/>
    <m/>
    <m/>
    <m/>
    <m/>
    <m/>
    <m/>
    <n v="124.82052503511741"/>
    <m/>
    <m/>
    <m/>
    <m/>
    <m/>
    <m/>
    <m/>
    <m/>
    <m/>
    <m/>
    <m/>
  </r>
  <r>
    <x v="12"/>
    <x v="2"/>
    <m/>
    <m/>
    <m/>
    <m/>
    <m/>
    <m/>
    <m/>
    <m/>
    <m/>
    <m/>
    <m/>
    <n v="120.23995530905806"/>
    <m/>
    <m/>
    <m/>
    <m/>
    <m/>
    <m/>
    <m/>
    <m/>
    <m/>
    <m/>
    <m/>
  </r>
  <r>
    <x v="12"/>
    <x v="3"/>
    <m/>
    <m/>
    <m/>
    <m/>
    <m/>
    <m/>
    <m/>
    <m/>
    <m/>
    <m/>
    <m/>
    <n v="117.94967044602839"/>
    <m/>
    <m/>
    <m/>
    <m/>
    <m/>
    <m/>
    <m/>
    <m/>
    <m/>
    <m/>
    <m/>
  </r>
  <r>
    <x v="12"/>
    <x v="4"/>
    <m/>
    <m/>
    <m/>
    <m/>
    <m/>
    <m/>
    <m/>
    <m/>
    <m/>
    <m/>
    <m/>
    <n v="115.65938558299872"/>
    <m/>
    <m/>
    <m/>
    <m/>
    <m/>
    <m/>
    <m/>
    <m/>
    <m/>
    <m/>
    <m/>
  </r>
  <r>
    <x v="12"/>
    <x v="5"/>
    <m/>
    <m/>
    <m/>
    <m/>
    <m/>
    <m/>
    <m/>
    <m/>
    <m/>
    <m/>
    <m/>
    <n v="112.22395828845418"/>
    <m/>
    <m/>
    <m/>
    <m/>
    <m/>
    <m/>
    <m/>
    <m/>
    <m/>
    <m/>
    <m/>
  </r>
  <r>
    <x v="12"/>
    <x v="6"/>
    <m/>
    <m/>
    <m/>
    <m/>
    <m/>
    <m/>
    <m/>
    <m/>
    <m/>
    <m/>
    <m/>
    <n v="107.64338856239483"/>
    <m/>
    <m/>
    <m/>
    <m/>
    <m/>
    <m/>
    <m/>
    <m/>
    <m/>
    <m/>
    <m/>
  </r>
  <r>
    <x v="12"/>
    <x v="7"/>
    <m/>
    <m/>
    <m/>
    <m/>
    <m/>
    <m/>
    <m/>
    <m/>
    <m/>
    <m/>
    <m/>
    <n v="744.73086420157722"/>
    <m/>
    <m/>
    <m/>
    <m/>
    <m/>
    <m/>
    <m/>
    <m/>
    <m/>
    <m/>
    <m/>
  </r>
  <r>
    <x v="13"/>
    <x v="0"/>
    <m/>
    <m/>
    <m/>
    <m/>
    <m/>
    <m/>
    <m/>
    <m/>
    <m/>
    <m/>
    <m/>
    <n v="19.858469365561557"/>
    <m/>
    <m/>
    <m/>
    <m/>
    <m/>
    <m/>
    <m/>
    <m/>
    <m/>
    <m/>
    <m/>
  </r>
  <r>
    <x v="13"/>
    <x v="1"/>
    <m/>
    <m/>
    <m/>
    <m/>
    <m/>
    <m/>
    <m/>
    <m/>
    <m/>
    <m/>
    <m/>
    <n v="54.114329021155243"/>
    <m/>
    <m/>
    <m/>
    <m/>
    <m/>
    <m/>
    <m/>
    <m/>
    <m/>
    <m/>
    <m/>
  </r>
  <r>
    <x v="13"/>
    <x v="2"/>
    <m/>
    <m/>
    <m/>
    <m/>
    <m/>
    <m/>
    <m/>
    <m/>
    <m/>
    <m/>
    <m/>
    <n v="52.128482084599085"/>
    <m/>
    <m/>
    <m/>
    <m/>
    <m/>
    <m/>
    <m/>
    <m/>
    <m/>
    <m/>
    <m/>
  </r>
  <r>
    <x v="13"/>
    <x v="3"/>
    <m/>
    <m/>
    <m/>
    <m/>
    <m/>
    <m/>
    <m/>
    <m/>
    <m/>
    <m/>
    <m/>
    <n v="51.135558616321006"/>
    <m/>
    <m/>
    <m/>
    <m/>
    <m/>
    <m/>
    <m/>
    <m/>
    <m/>
    <m/>
    <m/>
  </r>
  <r>
    <x v="13"/>
    <x v="4"/>
    <m/>
    <m/>
    <m/>
    <m/>
    <m/>
    <m/>
    <m/>
    <m/>
    <m/>
    <m/>
    <m/>
    <n v="50.142635148042935"/>
    <m/>
    <m/>
    <m/>
    <m/>
    <m/>
    <m/>
    <m/>
    <m/>
    <m/>
    <m/>
    <m/>
  </r>
  <r>
    <x v="13"/>
    <x v="5"/>
    <m/>
    <m/>
    <m/>
    <m/>
    <m/>
    <m/>
    <m/>
    <m/>
    <m/>
    <m/>
    <m/>
    <n v="48.653249945625817"/>
    <m/>
    <m/>
    <m/>
    <m/>
    <m/>
    <m/>
    <m/>
    <m/>
    <m/>
    <m/>
    <m/>
  </r>
  <r>
    <x v="13"/>
    <x v="6"/>
    <m/>
    <m/>
    <m/>
    <m/>
    <m/>
    <m/>
    <m/>
    <m/>
    <m/>
    <m/>
    <m/>
    <n v="46.667403009069659"/>
    <m/>
    <m/>
    <m/>
    <m/>
    <m/>
    <m/>
    <m/>
    <m/>
    <m/>
    <m/>
    <m/>
  </r>
  <r>
    <x v="13"/>
    <x v="7"/>
    <m/>
    <m/>
    <m/>
    <m/>
    <m/>
    <m/>
    <m/>
    <m/>
    <m/>
    <m/>
    <m/>
    <n v="322.91439191548267"/>
    <m/>
    <m/>
    <m/>
    <m/>
    <m/>
    <m/>
    <m/>
    <m/>
    <m/>
    <m/>
    <m/>
  </r>
  <r>
    <x v="14"/>
    <x v="0"/>
    <m/>
    <m/>
    <m/>
    <m/>
    <m/>
    <m/>
    <m/>
    <m/>
    <m/>
    <m/>
    <m/>
    <n v="16.075458486649477"/>
    <m/>
    <m/>
    <m/>
    <m/>
    <m/>
    <m/>
    <m/>
    <m/>
    <m/>
    <m/>
    <m/>
  </r>
  <r>
    <x v="14"/>
    <x v="1"/>
    <m/>
    <m/>
    <m/>
    <m/>
    <m/>
    <m/>
    <m/>
    <m/>
    <m/>
    <m/>
    <m/>
    <n v="43.805624376119823"/>
    <m/>
    <m/>
    <m/>
    <m/>
    <m/>
    <m/>
    <m/>
    <m/>
    <m/>
    <m/>
    <m/>
  </r>
  <r>
    <x v="14"/>
    <x v="2"/>
    <m/>
    <m/>
    <m/>
    <m/>
    <m/>
    <m/>
    <m/>
    <m/>
    <m/>
    <m/>
    <m/>
    <n v="42.198078527454875"/>
    <m/>
    <m/>
    <m/>
    <m/>
    <m/>
    <m/>
    <m/>
    <m/>
    <m/>
    <m/>
    <m/>
  </r>
  <r>
    <x v="14"/>
    <x v="3"/>
    <m/>
    <m/>
    <m/>
    <m/>
    <m/>
    <m/>
    <m/>
    <m/>
    <m/>
    <m/>
    <m/>
    <n v="41.394305603122405"/>
    <m/>
    <m/>
    <m/>
    <m/>
    <m/>
    <m/>
    <m/>
    <m/>
    <m/>
    <m/>
    <m/>
  </r>
  <r>
    <x v="14"/>
    <x v="4"/>
    <m/>
    <m/>
    <m/>
    <m/>
    <m/>
    <m/>
    <m/>
    <m/>
    <m/>
    <m/>
    <m/>
    <n v="40.590532678789927"/>
    <m/>
    <m/>
    <m/>
    <m/>
    <m/>
    <m/>
    <m/>
    <m/>
    <m/>
    <m/>
    <m/>
  </r>
  <r>
    <x v="14"/>
    <x v="5"/>
    <m/>
    <m/>
    <m/>
    <m/>
    <m/>
    <m/>
    <m/>
    <m/>
    <m/>
    <m/>
    <m/>
    <n v="39.384873292291218"/>
    <m/>
    <m/>
    <m/>
    <m/>
    <m/>
    <m/>
    <m/>
    <m/>
    <m/>
    <m/>
    <m/>
  </r>
  <r>
    <x v="14"/>
    <x v="6"/>
    <m/>
    <m/>
    <m/>
    <m/>
    <m/>
    <m/>
    <m/>
    <m/>
    <m/>
    <m/>
    <m/>
    <n v="37.777327443626262"/>
    <m/>
    <m/>
    <m/>
    <m/>
    <m/>
    <m/>
    <m/>
    <m/>
    <m/>
    <m/>
    <m/>
  </r>
  <r>
    <x v="14"/>
    <x v="7"/>
    <m/>
    <m/>
    <m/>
    <m/>
    <m/>
    <m/>
    <m/>
    <m/>
    <m/>
    <m/>
    <m/>
    <n v="261.13217624278678"/>
    <m/>
    <m/>
    <m/>
    <m/>
    <m/>
    <m/>
    <m/>
    <m/>
    <m/>
    <m/>
    <m/>
  </r>
  <r>
    <x v="15"/>
    <x v="0"/>
    <m/>
    <m/>
    <m/>
    <m/>
    <m/>
    <m/>
    <m/>
    <m/>
    <m/>
    <m/>
    <m/>
    <n v="29.573221233569299"/>
    <m/>
    <m/>
    <m/>
    <m/>
    <m/>
    <m/>
    <m/>
    <m/>
    <m/>
    <m/>
    <m/>
  </r>
  <r>
    <x v="15"/>
    <x v="1"/>
    <m/>
    <m/>
    <m/>
    <m/>
    <m/>
    <m/>
    <m/>
    <m/>
    <m/>
    <m/>
    <m/>
    <n v="80.587027861476344"/>
    <m/>
    <m/>
    <m/>
    <m/>
    <m/>
    <m/>
    <m/>
    <m/>
    <m/>
    <m/>
    <m/>
  </r>
  <r>
    <x v="15"/>
    <x v="2"/>
    <m/>
    <m/>
    <m/>
    <m/>
    <m/>
    <m/>
    <m/>
    <m/>
    <m/>
    <m/>
    <m/>
    <n v="77.629705738119426"/>
    <m/>
    <m/>
    <m/>
    <m/>
    <m/>
    <m/>
    <m/>
    <m/>
    <m/>
    <m/>
    <m/>
  </r>
  <r>
    <x v="15"/>
    <x v="3"/>
    <m/>
    <m/>
    <m/>
    <m/>
    <m/>
    <m/>
    <m/>
    <m/>
    <m/>
    <m/>
    <m/>
    <n v="76.151044676440961"/>
    <m/>
    <m/>
    <m/>
    <m/>
    <m/>
    <m/>
    <m/>
    <m/>
    <m/>
    <m/>
    <m/>
  </r>
  <r>
    <x v="15"/>
    <x v="4"/>
    <m/>
    <m/>
    <m/>
    <m/>
    <m/>
    <m/>
    <m/>
    <m/>
    <m/>
    <m/>
    <m/>
    <n v="74.672383614762495"/>
    <m/>
    <m/>
    <m/>
    <m/>
    <m/>
    <m/>
    <m/>
    <m/>
    <m/>
    <m/>
    <m/>
  </r>
  <r>
    <x v="15"/>
    <x v="5"/>
    <m/>
    <m/>
    <m/>
    <m/>
    <m/>
    <m/>
    <m/>
    <m/>
    <m/>
    <m/>
    <m/>
    <n v="72.454392022244775"/>
    <m/>
    <m/>
    <m/>
    <m/>
    <m/>
    <m/>
    <m/>
    <m/>
    <m/>
    <m/>
    <m/>
  </r>
  <r>
    <x v="15"/>
    <x v="6"/>
    <m/>
    <m/>
    <m/>
    <m/>
    <m/>
    <m/>
    <m/>
    <m/>
    <m/>
    <m/>
    <m/>
    <n v="69.497069898887858"/>
    <m/>
    <m/>
    <m/>
    <m/>
    <m/>
    <m/>
    <m/>
    <m/>
    <m/>
    <m/>
    <m/>
  </r>
  <r>
    <x v="15"/>
    <x v="7"/>
    <m/>
    <m/>
    <m/>
    <m/>
    <m/>
    <m/>
    <m/>
    <m/>
    <m/>
    <m/>
    <m/>
    <n v="482.83128712984478"/>
    <m/>
    <m/>
    <m/>
    <m/>
    <m/>
    <m/>
    <m/>
    <m/>
    <m/>
    <m/>
    <m/>
  </r>
  <r>
    <x v="16"/>
    <x v="0"/>
    <m/>
    <m/>
    <m/>
    <m/>
    <m/>
    <m/>
    <m/>
    <m/>
    <m/>
    <m/>
    <m/>
    <n v="29.041458523093294"/>
    <m/>
    <m/>
    <m/>
    <m/>
    <m/>
    <m/>
    <m/>
    <m/>
    <m/>
    <m/>
    <m/>
  </r>
  <r>
    <x v="16"/>
    <x v="1"/>
    <m/>
    <m/>
    <m/>
    <m/>
    <m/>
    <m/>
    <m/>
    <m/>
    <m/>
    <m/>
    <m/>
    <n v="79.137974475429218"/>
    <m/>
    <m/>
    <m/>
    <m/>
    <m/>
    <m/>
    <m/>
    <m/>
    <m/>
    <m/>
    <m/>
  </r>
  <r>
    <x v="16"/>
    <x v="2"/>
    <m/>
    <m/>
    <m/>
    <m/>
    <m/>
    <m/>
    <m/>
    <m/>
    <m/>
    <m/>
    <m/>
    <n v="76.233828623119891"/>
    <m/>
    <m/>
    <m/>
    <m/>
    <m/>
    <m/>
    <m/>
    <m/>
    <m/>
    <m/>
    <m/>
  </r>
  <r>
    <x v="16"/>
    <x v="3"/>
    <m/>
    <m/>
    <m/>
    <m/>
    <m/>
    <m/>
    <m/>
    <m/>
    <m/>
    <m/>
    <m/>
    <n v="74.78175569696522"/>
    <m/>
    <m/>
    <m/>
    <m/>
    <m/>
    <m/>
    <m/>
    <m/>
    <m/>
    <m/>
    <m/>
  </r>
  <r>
    <x v="16"/>
    <x v="4"/>
    <m/>
    <m/>
    <m/>
    <m/>
    <m/>
    <m/>
    <m/>
    <m/>
    <m/>
    <m/>
    <m/>
    <n v="73.329682770810564"/>
    <m/>
    <m/>
    <m/>
    <m/>
    <m/>
    <m/>
    <m/>
    <m/>
    <m/>
    <m/>
    <m/>
  </r>
  <r>
    <x v="16"/>
    <x v="5"/>
    <m/>
    <m/>
    <m/>
    <m/>
    <m/>
    <m/>
    <m/>
    <m/>
    <m/>
    <m/>
    <m/>
    <n v="71.151573381578558"/>
    <m/>
    <m/>
    <m/>
    <m/>
    <m/>
    <m/>
    <m/>
    <m/>
    <m/>
    <m/>
    <m/>
  </r>
  <r>
    <x v="16"/>
    <x v="6"/>
    <m/>
    <m/>
    <m/>
    <m/>
    <m/>
    <m/>
    <m/>
    <m/>
    <m/>
    <m/>
    <m/>
    <n v="68.247427529269231"/>
    <m/>
    <m/>
    <m/>
    <m/>
    <m/>
    <m/>
    <m/>
    <m/>
    <m/>
    <m/>
    <m/>
  </r>
  <r>
    <x v="16"/>
    <x v="7"/>
    <m/>
    <m/>
    <m/>
    <m/>
    <m/>
    <m/>
    <m/>
    <m/>
    <m/>
    <m/>
    <m/>
    <n v="472.75748041802751"/>
    <m/>
    <m/>
    <m/>
    <m/>
    <m/>
    <m/>
    <m/>
    <m/>
    <m/>
    <m/>
    <m/>
  </r>
  <r>
    <x v="17"/>
    <x v="0"/>
    <m/>
    <m/>
    <m/>
    <m/>
    <m/>
    <m/>
    <m/>
    <m/>
    <m/>
    <m/>
    <m/>
    <n v="14.138872000791777"/>
    <m/>
    <m/>
    <m/>
    <m/>
    <m/>
    <m/>
    <m/>
    <m/>
    <m/>
    <m/>
    <m/>
  </r>
  <r>
    <x v="17"/>
    <x v="1"/>
    <m/>
    <m/>
    <m/>
    <m/>
    <m/>
    <m/>
    <m/>
    <m/>
    <m/>
    <m/>
    <m/>
    <n v="38.528426202157597"/>
    <m/>
    <m/>
    <m/>
    <m/>
    <m/>
    <m/>
    <m/>
    <m/>
    <m/>
    <m/>
    <m/>
  </r>
  <r>
    <x v="17"/>
    <x v="2"/>
    <m/>
    <m/>
    <m/>
    <m/>
    <m/>
    <m/>
    <m/>
    <m/>
    <m/>
    <m/>
    <m/>
    <n v="37.114539002078416"/>
    <m/>
    <m/>
    <m/>
    <m/>
    <m/>
    <m/>
    <m/>
    <m/>
    <m/>
    <m/>
    <m/>
  </r>
  <r>
    <x v="17"/>
    <x v="3"/>
    <m/>
    <m/>
    <m/>
    <m/>
    <m/>
    <m/>
    <m/>
    <m/>
    <m/>
    <m/>
    <m/>
    <n v="36.407595402038829"/>
    <m/>
    <m/>
    <m/>
    <m/>
    <m/>
    <m/>
    <m/>
    <m/>
    <m/>
    <m/>
    <m/>
  </r>
  <r>
    <x v="17"/>
    <x v="4"/>
    <m/>
    <m/>
    <m/>
    <m/>
    <m/>
    <m/>
    <m/>
    <m/>
    <m/>
    <m/>
    <m/>
    <n v="35.700651801999236"/>
    <m/>
    <m/>
    <m/>
    <m/>
    <m/>
    <m/>
    <m/>
    <m/>
    <m/>
    <m/>
    <m/>
  </r>
  <r>
    <x v="17"/>
    <x v="5"/>
    <m/>
    <m/>
    <m/>
    <m/>
    <m/>
    <m/>
    <m/>
    <m/>
    <m/>
    <m/>
    <m/>
    <n v="34.640236401939859"/>
    <m/>
    <m/>
    <m/>
    <m/>
    <m/>
    <m/>
    <m/>
    <m/>
    <m/>
    <m/>
    <m/>
  </r>
  <r>
    <x v="17"/>
    <x v="6"/>
    <m/>
    <m/>
    <m/>
    <m/>
    <m/>
    <m/>
    <m/>
    <m/>
    <m/>
    <m/>
    <m/>
    <n v="33.226349201860678"/>
    <m/>
    <m/>
    <m/>
    <m/>
    <m/>
    <m/>
    <m/>
    <m/>
    <m/>
    <m/>
    <m/>
  </r>
  <r>
    <x v="17"/>
    <x v="7"/>
    <m/>
    <m/>
    <m/>
    <m/>
    <m/>
    <m/>
    <m/>
    <m/>
    <m/>
    <m/>
    <m/>
    <n v="233.6714040557161"/>
    <m/>
    <m/>
    <m/>
    <m/>
    <m/>
    <m/>
    <m/>
    <m/>
    <m/>
    <m/>
    <m/>
  </r>
  <r>
    <x v="18"/>
    <x v="0"/>
    <m/>
    <m/>
    <m/>
    <m/>
    <m/>
    <m/>
    <m/>
    <m/>
    <m/>
    <m/>
    <m/>
    <n v="12.547893330808355"/>
    <m/>
    <m/>
    <m/>
    <m/>
    <m/>
    <m/>
    <m/>
    <m/>
    <m/>
    <m/>
    <m/>
  </r>
  <r>
    <x v="18"/>
    <x v="1"/>
    <m/>
    <m/>
    <m/>
    <m/>
    <m/>
    <m/>
    <m/>
    <m/>
    <m/>
    <m/>
    <m/>
    <n v="34.193009326452774"/>
    <m/>
    <m/>
    <m/>
    <m/>
    <m/>
    <m/>
    <m/>
    <m/>
    <m/>
    <m/>
    <m/>
  </r>
  <r>
    <x v="18"/>
    <x v="2"/>
    <m/>
    <m/>
    <m/>
    <m/>
    <m/>
    <m/>
    <m/>
    <m/>
    <m/>
    <m/>
    <m/>
    <n v="32.938219993371938"/>
    <m/>
    <m/>
    <m/>
    <m/>
    <m/>
    <m/>
    <m/>
    <m/>
    <m/>
    <m/>
    <m/>
  </r>
  <r>
    <x v="18"/>
    <x v="3"/>
    <m/>
    <m/>
    <m/>
    <m/>
    <m/>
    <m/>
    <m/>
    <m/>
    <m/>
    <m/>
    <m/>
    <n v="32.31082532683152"/>
    <m/>
    <m/>
    <m/>
    <m/>
    <m/>
    <m/>
    <m/>
    <m/>
    <m/>
    <m/>
    <m/>
  </r>
  <r>
    <x v="18"/>
    <x v="4"/>
    <m/>
    <m/>
    <m/>
    <m/>
    <m/>
    <m/>
    <m/>
    <m/>
    <m/>
    <m/>
    <m/>
    <n v="31.683430660291101"/>
    <m/>
    <m/>
    <m/>
    <m/>
    <m/>
    <m/>
    <m/>
    <m/>
    <m/>
    <m/>
    <m/>
  </r>
  <r>
    <x v="18"/>
    <x v="5"/>
    <m/>
    <m/>
    <m/>
    <m/>
    <m/>
    <m/>
    <m/>
    <m/>
    <m/>
    <m/>
    <m/>
    <n v="30.74233866048047"/>
    <m/>
    <m/>
    <m/>
    <m/>
    <m/>
    <m/>
    <m/>
    <m/>
    <m/>
    <m/>
    <m/>
  </r>
  <r>
    <x v="18"/>
    <x v="6"/>
    <m/>
    <m/>
    <m/>
    <m/>
    <m/>
    <m/>
    <m/>
    <m/>
    <m/>
    <m/>
    <m/>
    <n v="29.487549327399638"/>
    <m/>
    <m/>
    <m/>
    <m/>
    <m/>
    <m/>
    <m/>
    <m/>
    <m/>
    <m/>
    <m/>
  </r>
  <r>
    <x v="18"/>
    <x v="7"/>
    <m/>
    <m/>
    <m/>
    <m/>
    <m/>
    <m/>
    <m/>
    <m/>
    <m/>
    <m/>
    <m/>
    <n v="203.90326662563581"/>
    <m/>
    <m/>
    <m/>
    <m/>
    <m/>
    <m/>
    <m/>
    <m/>
    <m/>
    <m/>
    <m/>
  </r>
  <r>
    <x v="19"/>
    <x v="0"/>
    <m/>
    <m/>
    <m/>
    <m/>
    <m/>
    <m/>
    <m/>
    <m/>
    <m/>
    <m/>
    <m/>
    <n v="7.2576585310991399"/>
    <m/>
    <m/>
    <m/>
    <m/>
    <m/>
    <m/>
    <m/>
    <m/>
    <m/>
    <m/>
    <m/>
  </r>
  <r>
    <x v="19"/>
    <x v="1"/>
    <m/>
    <m/>
    <m/>
    <m/>
    <m/>
    <m/>
    <m/>
    <m/>
    <m/>
    <m/>
    <m/>
    <n v="19.77711949724516"/>
    <m/>
    <m/>
    <m/>
    <m/>
    <m/>
    <m/>
    <m/>
    <m/>
    <m/>
    <m/>
    <m/>
  </r>
  <r>
    <x v="19"/>
    <x v="2"/>
    <m/>
    <m/>
    <m/>
    <m/>
    <m/>
    <m/>
    <m/>
    <m/>
    <m/>
    <m/>
    <m/>
    <n v="19.051353644135247"/>
    <m/>
    <m/>
    <m/>
    <m/>
    <m/>
    <m/>
    <m/>
    <m/>
    <m/>
    <m/>
    <m/>
  </r>
  <r>
    <x v="19"/>
    <x v="3"/>
    <m/>
    <m/>
    <m/>
    <m/>
    <m/>
    <m/>
    <m/>
    <m/>
    <m/>
    <m/>
    <m/>
    <n v="18.688470717580287"/>
    <m/>
    <m/>
    <m/>
    <m/>
    <m/>
    <m/>
    <m/>
    <m/>
    <m/>
    <m/>
    <m/>
  </r>
  <r>
    <x v="19"/>
    <x v="4"/>
    <m/>
    <m/>
    <m/>
    <m/>
    <m/>
    <m/>
    <m/>
    <m/>
    <m/>
    <m/>
    <m/>
    <n v="18.325587791025328"/>
    <m/>
    <m/>
    <m/>
    <m/>
    <m/>
    <m/>
    <m/>
    <m/>
    <m/>
    <m/>
    <m/>
  </r>
  <r>
    <x v="19"/>
    <x v="5"/>
    <m/>
    <m/>
    <m/>
    <m/>
    <m/>
    <m/>
    <m/>
    <m/>
    <m/>
    <m/>
    <m/>
    <n v="17.781263401192895"/>
    <m/>
    <m/>
    <m/>
    <m/>
    <m/>
    <m/>
    <m/>
    <m/>
    <m/>
    <m/>
    <m/>
  </r>
  <r>
    <x v="19"/>
    <x v="6"/>
    <m/>
    <m/>
    <m/>
    <m/>
    <m/>
    <m/>
    <m/>
    <m/>
    <m/>
    <m/>
    <m/>
    <n v="17.055497548082982"/>
    <m/>
    <m/>
    <m/>
    <m/>
    <m/>
    <m/>
    <m/>
    <m/>
    <m/>
    <m/>
    <m/>
  </r>
  <r>
    <x v="19"/>
    <x v="7"/>
    <m/>
    <m/>
    <m/>
    <m/>
    <m/>
    <m/>
    <m/>
    <m/>
    <m/>
    <m/>
    <m/>
    <n v="117.776305960127"/>
    <m/>
    <m/>
    <m/>
    <m/>
    <m/>
    <m/>
    <m/>
    <m/>
    <m/>
    <m/>
    <m/>
  </r>
  <r>
    <x v="20"/>
    <x v="0"/>
    <m/>
    <m/>
    <m/>
    <m/>
    <m/>
    <m/>
    <m/>
    <m/>
    <m/>
    <m/>
    <m/>
    <n v="58.89542581521826"/>
    <m/>
    <m/>
    <m/>
    <m/>
    <m/>
    <m/>
    <m/>
    <m/>
    <m/>
    <m/>
    <m/>
  </r>
  <r>
    <x v="20"/>
    <x v="1"/>
    <m/>
    <m/>
    <m/>
    <m/>
    <m/>
    <m/>
    <m/>
    <m/>
    <m/>
    <m/>
    <m/>
    <n v="160.49003534646971"/>
    <m/>
    <m/>
    <m/>
    <m/>
    <m/>
    <m/>
    <m/>
    <m/>
    <m/>
    <m/>
    <m/>
  </r>
  <r>
    <x v="20"/>
    <x v="2"/>
    <m/>
    <m/>
    <m/>
    <m/>
    <m/>
    <m/>
    <m/>
    <m/>
    <m/>
    <m/>
    <m/>
    <n v="154.60049276494792"/>
    <m/>
    <m/>
    <m/>
    <m/>
    <m/>
    <m/>
    <m/>
    <m/>
    <m/>
    <m/>
    <m/>
  </r>
  <r>
    <x v="20"/>
    <x v="3"/>
    <m/>
    <m/>
    <m/>
    <m/>
    <m/>
    <m/>
    <m/>
    <m/>
    <m/>
    <m/>
    <m/>
    <n v="151.655721474187"/>
    <m/>
    <m/>
    <m/>
    <m/>
    <m/>
    <m/>
    <m/>
    <m/>
    <m/>
    <m/>
    <m/>
  </r>
  <r>
    <x v="20"/>
    <x v="4"/>
    <m/>
    <m/>
    <m/>
    <m/>
    <m/>
    <m/>
    <m/>
    <m/>
    <m/>
    <m/>
    <m/>
    <n v="148.71095018342609"/>
    <m/>
    <m/>
    <m/>
    <m/>
    <m/>
    <m/>
    <m/>
    <m/>
    <m/>
    <m/>
    <m/>
  </r>
  <r>
    <x v="20"/>
    <x v="5"/>
    <m/>
    <m/>
    <m/>
    <m/>
    <m/>
    <m/>
    <m/>
    <m/>
    <m/>
    <m/>
    <m/>
    <n v="144.2937932472847"/>
    <m/>
    <m/>
    <m/>
    <m/>
    <m/>
    <m/>
    <m/>
    <m/>
    <m/>
    <m/>
    <m/>
  </r>
  <r>
    <x v="20"/>
    <x v="6"/>
    <m/>
    <m/>
    <m/>
    <m/>
    <m/>
    <m/>
    <m/>
    <m/>
    <m/>
    <m/>
    <m/>
    <n v="138.40425066576287"/>
    <m/>
    <m/>
    <m/>
    <m/>
    <m/>
    <m/>
    <m/>
    <m/>
    <m/>
    <m/>
    <m/>
  </r>
  <r>
    <x v="20"/>
    <x v="7"/>
    <m/>
    <m/>
    <m/>
    <m/>
    <m/>
    <m/>
    <m/>
    <m/>
    <m/>
    <m/>
    <m/>
    <n v="956.96922361904331"/>
    <m/>
    <m/>
    <m/>
    <m/>
    <m/>
    <m/>
    <m/>
    <m/>
    <m/>
    <m/>
    <m/>
  </r>
  <r>
    <x v="21"/>
    <x v="0"/>
    <m/>
    <m/>
    <m/>
    <m/>
    <m/>
    <m/>
    <m/>
    <m/>
    <m/>
    <m/>
    <m/>
    <n v="17.584241713057942"/>
    <m/>
    <m/>
    <m/>
    <m/>
    <m/>
    <m/>
    <m/>
    <m/>
    <m/>
    <m/>
    <m/>
  </r>
  <r>
    <x v="21"/>
    <x v="1"/>
    <m/>
    <m/>
    <m/>
    <m/>
    <m/>
    <m/>
    <m/>
    <m/>
    <m/>
    <m/>
    <m/>
    <n v="47.917058668082895"/>
    <m/>
    <m/>
    <m/>
    <m/>
    <m/>
    <m/>
    <m/>
    <m/>
    <m/>
    <m/>
    <m/>
  </r>
  <r>
    <x v="21"/>
    <x v="2"/>
    <m/>
    <m/>
    <m/>
    <m/>
    <m/>
    <m/>
    <m/>
    <m/>
    <m/>
    <m/>
    <m/>
    <n v="46.15863449677709"/>
    <m/>
    <m/>
    <m/>
    <m/>
    <m/>
    <m/>
    <m/>
    <m/>
    <m/>
    <m/>
    <m/>
  </r>
  <r>
    <x v="21"/>
    <x v="3"/>
    <m/>
    <m/>
    <m/>
    <m/>
    <m/>
    <m/>
    <m/>
    <m/>
    <m/>
    <m/>
    <m/>
    <n v="45.279422411124195"/>
    <m/>
    <m/>
    <m/>
    <m/>
    <m/>
    <m/>
    <m/>
    <m/>
    <m/>
    <m/>
    <m/>
  </r>
  <r>
    <x v="21"/>
    <x v="4"/>
    <m/>
    <m/>
    <m/>
    <m/>
    <m/>
    <m/>
    <m/>
    <m/>
    <m/>
    <m/>
    <m/>
    <n v="44.400210325471299"/>
    <m/>
    <m/>
    <m/>
    <m/>
    <m/>
    <m/>
    <m/>
    <m/>
    <m/>
    <m/>
    <m/>
  </r>
  <r>
    <x v="21"/>
    <x v="5"/>
    <m/>
    <m/>
    <m/>
    <m/>
    <m/>
    <m/>
    <m/>
    <m/>
    <m/>
    <m/>
    <m/>
    <n v="43.081392196991956"/>
    <m/>
    <m/>
    <m/>
    <m/>
    <m/>
    <m/>
    <m/>
    <m/>
    <m/>
    <m/>
    <m/>
  </r>
  <r>
    <x v="21"/>
    <x v="6"/>
    <m/>
    <m/>
    <m/>
    <m/>
    <m/>
    <m/>
    <m/>
    <m/>
    <m/>
    <m/>
    <m/>
    <n v="41.322968025686166"/>
    <m/>
    <m/>
    <m/>
    <m/>
    <m/>
    <m/>
    <m/>
    <m/>
    <m/>
    <m/>
    <m/>
  </r>
  <r>
    <x v="21"/>
    <x v="7"/>
    <m/>
    <m/>
    <m/>
    <m/>
    <m/>
    <m/>
    <m/>
    <m/>
    <m/>
    <m/>
    <m/>
    <n v="286.01377517516295"/>
    <m/>
    <m/>
    <m/>
    <m/>
    <m/>
    <m/>
    <m/>
    <m/>
    <m/>
    <m/>
    <m/>
  </r>
  <r>
    <x v="22"/>
    <x v="0"/>
    <m/>
    <m/>
    <m/>
    <m/>
    <m/>
    <m/>
    <m/>
    <m/>
    <m/>
    <m/>
    <m/>
    <n v="30.313092115065551"/>
    <m/>
    <m/>
    <m/>
    <m/>
    <m/>
    <m/>
    <m/>
    <m/>
    <m/>
    <m/>
    <m/>
  </r>
  <r>
    <x v="22"/>
    <x v="1"/>
    <m/>
    <m/>
    <m/>
    <m/>
    <m/>
    <m/>
    <m/>
    <m/>
    <m/>
    <m/>
    <m/>
    <n v="82.603176013553622"/>
    <m/>
    <m/>
    <m/>
    <m/>
    <m/>
    <m/>
    <m/>
    <m/>
    <m/>
    <m/>
    <m/>
  </r>
  <r>
    <x v="22"/>
    <x v="2"/>
    <m/>
    <m/>
    <m/>
    <m/>
    <m/>
    <m/>
    <m/>
    <m/>
    <m/>
    <m/>
    <m/>
    <n v="79.571866802047069"/>
    <m/>
    <m/>
    <m/>
    <m/>
    <m/>
    <m/>
    <m/>
    <m/>
    <m/>
    <m/>
    <m/>
  </r>
  <r>
    <x v="22"/>
    <x v="3"/>
    <m/>
    <m/>
    <m/>
    <m/>
    <m/>
    <m/>
    <m/>
    <m/>
    <m/>
    <m/>
    <m/>
    <n v="78.056212196293799"/>
    <m/>
    <m/>
    <m/>
    <m/>
    <m/>
    <m/>
    <m/>
    <m/>
    <m/>
    <m/>
    <m/>
  </r>
  <r>
    <x v="22"/>
    <x v="4"/>
    <m/>
    <m/>
    <m/>
    <m/>
    <m/>
    <m/>
    <m/>
    <m/>
    <m/>
    <m/>
    <m/>
    <n v="76.540557590540516"/>
    <m/>
    <m/>
    <m/>
    <m/>
    <m/>
    <m/>
    <m/>
    <m/>
    <m/>
    <m/>
    <m/>
  </r>
  <r>
    <x v="22"/>
    <x v="5"/>
    <m/>
    <m/>
    <m/>
    <m/>
    <m/>
    <m/>
    <m/>
    <m/>
    <m/>
    <m/>
    <m/>
    <n v="74.267075681910597"/>
    <m/>
    <m/>
    <m/>
    <m/>
    <m/>
    <m/>
    <m/>
    <m/>
    <m/>
    <m/>
    <m/>
  </r>
  <r>
    <x v="22"/>
    <x v="6"/>
    <m/>
    <m/>
    <m/>
    <m/>
    <m/>
    <m/>
    <m/>
    <m/>
    <m/>
    <m/>
    <m/>
    <n v="71.235766470404045"/>
    <m/>
    <m/>
    <m/>
    <m/>
    <m/>
    <m/>
    <m/>
    <m/>
    <m/>
    <m/>
    <m/>
  </r>
  <r>
    <x v="22"/>
    <x v="7"/>
    <m/>
    <m/>
    <m/>
    <m/>
    <m/>
    <m/>
    <m/>
    <m/>
    <m/>
    <m/>
    <m/>
    <n v="492.60227169905619"/>
    <m/>
    <m/>
    <m/>
    <m/>
    <m/>
    <m/>
    <m/>
    <m/>
    <m/>
    <m/>
    <m/>
  </r>
  <r>
    <x v="23"/>
    <x v="0"/>
    <m/>
    <m/>
    <m/>
    <m/>
    <m/>
    <m/>
    <m/>
    <m/>
    <m/>
    <m/>
    <m/>
    <n v="49.325283089570291"/>
    <m/>
    <m/>
    <m/>
    <m/>
    <m/>
    <m/>
    <m/>
    <m/>
    <m/>
    <m/>
    <m/>
  </r>
  <r>
    <x v="23"/>
    <x v="1"/>
    <m/>
    <m/>
    <m/>
    <m/>
    <m/>
    <m/>
    <m/>
    <m/>
    <m/>
    <m/>
    <m/>
    <n v="134.41139641907904"/>
    <m/>
    <m/>
    <m/>
    <m/>
    <m/>
    <m/>
    <m/>
    <m/>
    <m/>
    <m/>
    <m/>
  </r>
  <r>
    <x v="23"/>
    <x v="2"/>
    <m/>
    <m/>
    <m/>
    <m/>
    <m/>
    <m/>
    <m/>
    <m/>
    <m/>
    <m/>
    <m/>
    <n v="129.47886811012202"/>
    <m/>
    <m/>
    <m/>
    <m/>
    <m/>
    <m/>
    <m/>
    <m/>
    <m/>
    <m/>
    <m/>
  </r>
  <r>
    <x v="23"/>
    <x v="3"/>
    <m/>
    <m/>
    <m/>
    <m/>
    <m/>
    <m/>
    <m/>
    <m/>
    <m/>
    <m/>
    <m/>
    <n v="127.0126039556435"/>
    <m/>
    <m/>
    <m/>
    <m/>
    <m/>
    <m/>
    <m/>
    <m/>
    <m/>
    <m/>
    <m/>
  </r>
  <r>
    <x v="23"/>
    <x v="4"/>
    <m/>
    <m/>
    <m/>
    <m/>
    <m/>
    <m/>
    <m/>
    <m/>
    <m/>
    <m/>
    <m/>
    <n v="124.54633980116496"/>
    <m/>
    <m/>
    <m/>
    <m/>
    <m/>
    <m/>
    <m/>
    <m/>
    <m/>
    <m/>
    <m/>
  </r>
  <r>
    <x v="23"/>
    <x v="5"/>
    <m/>
    <m/>
    <m/>
    <m/>
    <m/>
    <m/>
    <m/>
    <m/>
    <m/>
    <m/>
    <m/>
    <n v="120.84694356944722"/>
    <m/>
    <m/>
    <m/>
    <m/>
    <m/>
    <m/>
    <m/>
    <m/>
    <m/>
    <m/>
    <m/>
  </r>
  <r>
    <x v="23"/>
    <x v="6"/>
    <m/>
    <m/>
    <m/>
    <m/>
    <m/>
    <m/>
    <m/>
    <m/>
    <m/>
    <m/>
    <m/>
    <n v="115.9144152604902"/>
    <m/>
    <m/>
    <m/>
    <m/>
    <m/>
    <m/>
    <m/>
    <m/>
    <m/>
    <m/>
    <m/>
  </r>
  <r>
    <x v="23"/>
    <x v="7"/>
    <m/>
    <m/>
    <m/>
    <m/>
    <m/>
    <m/>
    <m/>
    <m/>
    <m/>
    <m/>
    <m/>
    <n v="803.13791145711104"/>
    <m/>
    <m/>
    <m/>
    <m/>
    <m/>
    <m/>
    <m/>
    <m/>
    <m/>
    <m/>
    <m/>
  </r>
  <r>
    <x v="24"/>
    <x v="0"/>
    <m/>
    <m/>
    <m/>
    <m/>
    <m/>
    <m/>
    <m/>
    <m/>
    <m/>
    <m/>
    <m/>
    <n v="37.687378235930126"/>
    <m/>
    <m/>
    <m/>
    <m/>
    <m/>
    <m/>
    <m/>
    <m/>
    <m/>
    <m/>
    <m/>
  </r>
  <r>
    <x v="24"/>
    <x v="1"/>
    <m/>
    <m/>
    <m/>
    <m/>
    <m/>
    <m/>
    <m/>
    <m/>
    <m/>
    <m/>
    <m/>
    <n v="102.69810569290958"/>
    <m/>
    <m/>
    <m/>
    <m/>
    <m/>
    <m/>
    <m/>
    <m/>
    <m/>
    <m/>
    <m/>
  </r>
  <r>
    <x v="24"/>
    <x v="2"/>
    <m/>
    <m/>
    <m/>
    <m/>
    <m/>
    <m/>
    <m/>
    <m/>
    <m/>
    <m/>
    <m/>
    <n v="98.929367869316593"/>
    <m/>
    <m/>
    <m/>
    <m/>
    <m/>
    <m/>
    <m/>
    <m/>
    <m/>
    <m/>
    <m/>
  </r>
  <r>
    <x v="24"/>
    <x v="3"/>
    <m/>
    <m/>
    <m/>
    <m/>
    <m/>
    <m/>
    <m/>
    <m/>
    <m/>
    <m/>
    <m/>
    <n v="97.044998957520079"/>
    <m/>
    <m/>
    <m/>
    <m/>
    <m/>
    <m/>
    <m/>
    <m/>
    <m/>
    <m/>
    <m/>
  </r>
  <r>
    <x v="24"/>
    <x v="4"/>
    <m/>
    <m/>
    <m/>
    <m/>
    <m/>
    <m/>
    <m/>
    <m/>
    <m/>
    <m/>
    <m/>
    <n v="95.160630045723565"/>
    <m/>
    <m/>
    <m/>
    <m/>
    <m/>
    <m/>
    <m/>
    <m/>
    <m/>
    <m/>
    <m/>
  </r>
  <r>
    <x v="24"/>
    <x v="5"/>
    <m/>
    <m/>
    <m/>
    <m/>
    <m/>
    <m/>
    <m/>
    <m/>
    <m/>
    <m/>
    <m/>
    <n v="92.334076678028794"/>
    <m/>
    <m/>
    <m/>
    <m/>
    <m/>
    <m/>
    <m/>
    <m/>
    <m/>
    <m/>
    <m/>
  </r>
  <r>
    <x v="24"/>
    <x v="6"/>
    <m/>
    <m/>
    <m/>
    <m/>
    <m/>
    <m/>
    <m/>
    <m/>
    <m/>
    <m/>
    <m/>
    <n v="88.56533885443578"/>
    <m/>
    <m/>
    <m/>
    <m/>
    <m/>
    <m/>
    <m/>
    <m/>
    <m/>
    <m/>
    <m/>
  </r>
  <r>
    <x v="24"/>
    <x v="7"/>
    <m/>
    <m/>
    <m/>
    <m/>
    <m/>
    <m/>
    <m/>
    <m/>
    <m/>
    <m/>
    <m/>
    <n v="612.84214492044703"/>
    <m/>
    <m/>
    <m/>
    <m/>
    <m/>
    <m/>
    <m/>
    <m/>
    <m/>
    <m/>
    <m/>
  </r>
  <r>
    <x v="25"/>
    <x v="0"/>
    <m/>
    <m/>
    <m/>
    <m/>
    <m/>
    <m/>
    <m/>
    <m/>
    <m/>
    <m/>
    <m/>
    <n v="16.324712639075774"/>
    <m/>
    <m/>
    <m/>
    <m/>
    <m/>
    <m/>
    <m/>
    <m/>
    <m/>
    <m/>
    <m/>
  </r>
  <r>
    <x v="25"/>
    <x v="1"/>
    <m/>
    <m/>
    <m/>
    <m/>
    <m/>
    <m/>
    <m/>
    <m/>
    <m/>
    <m/>
    <m/>
    <n v="44.484841941481477"/>
    <m/>
    <m/>
    <m/>
    <m/>
    <m/>
    <m/>
    <m/>
    <m/>
    <m/>
    <m/>
    <m/>
  </r>
  <r>
    <x v="25"/>
    <x v="2"/>
    <m/>
    <m/>
    <m/>
    <m/>
    <m/>
    <m/>
    <m/>
    <m/>
    <m/>
    <m/>
    <m/>
    <n v="42.852370677573894"/>
    <m/>
    <m/>
    <m/>
    <m/>
    <m/>
    <m/>
    <m/>
    <m/>
    <m/>
    <m/>
    <m/>
  </r>
  <r>
    <x v="25"/>
    <x v="3"/>
    <m/>
    <m/>
    <m/>
    <m/>
    <m/>
    <m/>
    <m/>
    <m/>
    <m/>
    <m/>
    <m/>
    <n v="42.036135045620107"/>
    <m/>
    <m/>
    <m/>
    <m/>
    <m/>
    <m/>
    <m/>
    <m/>
    <m/>
    <m/>
    <m/>
  </r>
  <r>
    <x v="25"/>
    <x v="4"/>
    <m/>
    <m/>
    <m/>
    <m/>
    <m/>
    <m/>
    <m/>
    <m/>
    <m/>
    <m/>
    <m/>
    <n v="41.219899413666319"/>
    <m/>
    <m/>
    <m/>
    <m/>
    <m/>
    <m/>
    <m/>
    <m/>
    <m/>
    <m/>
    <m/>
  </r>
  <r>
    <x v="25"/>
    <x v="5"/>
    <m/>
    <m/>
    <m/>
    <m/>
    <m/>
    <m/>
    <m/>
    <m/>
    <m/>
    <m/>
    <m/>
    <n v="39.995545965735637"/>
    <m/>
    <m/>
    <m/>
    <m/>
    <m/>
    <m/>
    <m/>
    <m/>
    <m/>
    <m/>
    <m/>
  </r>
  <r>
    <x v="25"/>
    <x v="6"/>
    <m/>
    <m/>
    <m/>
    <m/>
    <m/>
    <m/>
    <m/>
    <m/>
    <m/>
    <m/>
    <m/>
    <n v="38.363074701828062"/>
    <m/>
    <m/>
    <m/>
    <m/>
    <m/>
    <m/>
    <m/>
    <m/>
    <m/>
    <m/>
    <m/>
  </r>
  <r>
    <x v="25"/>
    <x v="7"/>
    <m/>
    <m/>
    <m/>
    <m/>
    <m/>
    <m/>
    <m/>
    <m/>
    <m/>
    <m/>
    <m/>
    <n v="265.26822524416275"/>
    <m/>
    <m/>
    <m/>
    <m/>
    <m/>
    <m/>
    <m/>
    <m/>
    <m/>
    <m/>
    <m/>
  </r>
  <r>
    <x v="26"/>
    <x v="0"/>
    <m/>
    <m/>
    <m/>
    <m/>
    <m/>
    <m/>
    <m/>
    <m/>
    <m/>
    <m/>
    <m/>
    <n v="6.400141634741022"/>
    <m/>
    <m/>
    <m/>
    <m/>
    <m/>
    <m/>
    <m/>
    <m/>
    <m/>
    <m/>
    <m/>
  </r>
  <r>
    <x v="26"/>
    <x v="1"/>
    <m/>
    <m/>
    <m/>
    <m/>
    <m/>
    <m/>
    <m/>
    <m/>
    <m/>
    <m/>
    <m/>
    <n v="17.440385954669281"/>
    <m/>
    <m/>
    <m/>
    <m/>
    <m/>
    <m/>
    <m/>
    <m/>
    <m/>
    <m/>
    <m/>
  </r>
  <r>
    <x v="26"/>
    <x v="2"/>
    <m/>
    <m/>
    <m/>
    <m/>
    <m/>
    <m/>
    <m/>
    <m/>
    <m/>
    <m/>
    <m/>
    <n v="16.800371791195179"/>
    <m/>
    <m/>
    <m/>
    <m/>
    <m/>
    <m/>
    <m/>
    <m/>
    <m/>
    <m/>
    <m/>
  </r>
  <r>
    <x v="26"/>
    <x v="3"/>
    <m/>
    <m/>
    <m/>
    <m/>
    <m/>
    <m/>
    <m/>
    <m/>
    <m/>
    <m/>
    <m/>
    <n v="16.480364709458129"/>
    <m/>
    <m/>
    <m/>
    <m/>
    <m/>
    <m/>
    <m/>
    <m/>
    <m/>
    <m/>
    <m/>
  </r>
  <r>
    <x v="26"/>
    <x v="4"/>
    <m/>
    <m/>
    <m/>
    <m/>
    <m/>
    <m/>
    <m/>
    <m/>
    <m/>
    <m/>
    <m/>
    <n v="16.160357627721073"/>
    <m/>
    <m/>
    <m/>
    <m/>
    <m/>
    <m/>
    <m/>
    <m/>
    <m/>
    <m/>
    <m/>
  </r>
  <r>
    <x v="26"/>
    <x v="5"/>
    <m/>
    <m/>
    <m/>
    <m/>
    <m/>
    <m/>
    <m/>
    <m/>
    <m/>
    <m/>
    <m/>
    <n v="15.680347005115502"/>
    <m/>
    <m/>
    <m/>
    <m/>
    <m/>
    <m/>
    <m/>
    <m/>
    <m/>
    <m/>
    <m/>
  </r>
  <r>
    <x v="26"/>
    <x v="6"/>
    <m/>
    <m/>
    <m/>
    <m/>
    <m/>
    <m/>
    <m/>
    <m/>
    <m/>
    <m/>
    <m/>
    <n v="15.040332841641399"/>
    <m/>
    <m/>
    <m/>
    <m/>
    <m/>
    <m/>
    <m/>
    <m/>
    <m/>
    <m/>
    <m/>
  </r>
  <r>
    <x v="26"/>
    <x v="7"/>
    <m/>
    <m/>
    <m/>
    <m/>
    <m/>
    <m/>
    <m/>
    <m/>
    <m/>
    <m/>
    <m/>
    <n v="103.3355077220827"/>
    <m/>
    <m/>
    <m/>
    <m/>
    <m/>
    <m/>
    <m/>
    <m/>
    <m/>
    <m/>
    <m/>
  </r>
  <r>
    <x v="27"/>
    <x v="0"/>
    <m/>
    <m/>
    <m/>
    <m/>
    <m/>
    <m/>
    <m/>
    <m/>
    <m/>
    <m/>
    <m/>
    <n v="20.871557901214878"/>
    <m/>
    <m/>
    <m/>
    <m/>
    <m/>
    <m/>
    <m/>
    <m/>
    <m/>
    <m/>
    <m/>
  </r>
  <r>
    <x v="27"/>
    <x v="1"/>
    <m/>
    <m/>
    <m/>
    <m/>
    <m/>
    <m/>
    <m/>
    <m/>
    <m/>
    <m/>
    <m/>
    <n v="56.874995280810545"/>
    <m/>
    <m/>
    <m/>
    <m/>
    <m/>
    <m/>
    <m/>
    <m/>
    <m/>
    <m/>
    <m/>
  </r>
  <r>
    <x v="27"/>
    <x v="2"/>
    <m/>
    <m/>
    <m/>
    <m/>
    <m/>
    <m/>
    <m/>
    <m/>
    <m/>
    <m/>
    <m/>
    <n v="54.787839490689052"/>
    <m/>
    <m/>
    <m/>
    <m/>
    <m/>
    <m/>
    <m/>
    <m/>
    <m/>
    <m/>
    <m/>
  </r>
  <r>
    <x v="27"/>
    <x v="3"/>
    <m/>
    <m/>
    <m/>
    <m/>
    <m/>
    <m/>
    <m/>
    <m/>
    <m/>
    <m/>
    <m/>
    <n v="53.744261595628309"/>
    <m/>
    <m/>
    <m/>
    <m/>
    <m/>
    <m/>
    <m/>
    <m/>
    <m/>
    <m/>
    <m/>
  </r>
  <r>
    <x v="27"/>
    <x v="4"/>
    <m/>
    <m/>
    <m/>
    <m/>
    <m/>
    <m/>
    <m/>
    <m/>
    <m/>
    <m/>
    <m/>
    <n v="52.700683700567581"/>
    <m/>
    <m/>
    <m/>
    <m/>
    <m/>
    <m/>
    <m/>
    <m/>
    <m/>
    <m/>
    <m/>
  </r>
  <r>
    <x v="27"/>
    <x v="5"/>
    <m/>
    <m/>
    <m/>
    <m/>
    <m/>
    <m/>
    <m/>
    <m/>
    <m/>
    <m/>
    <m/>
    <n v="51.135316857976434"/>
    <m/>
    <m/>
    <m/>
    <m/>
    <m/>
    <m/>
    <m/>
    <m/>
    <m/>
    <m/>
    <m/>
  </r>
  <r>
    <x v="27"/>
    <x v="6"/>
    <m/>
    <m/>
    <m/>
    <m/>
    <m/>
    <m/>
    <m/>
    <m/>
    <m/>
    <m/>
    <m/>
    <n v="49.048161067854956"/>
    <m/>
    <m/>
    <m/>
    <m/>
    <m/>
    <m/>
    <m/>
    <m/>
    <m/>
    <m/>
    <m/>
  </r>
  <r>
    <x v="27"/>
    <x v="7"/>
    <m/>
    <m/>
    <m/>
    <m/>
    <m/>
    <m/>
    <m/>
    <m/>
    <m/>
    <m/>
    <m/>
    <n v="338.01356975756596"/>
    <m/>
    <m/>
    <m/>
    <m/>
    <m/>
    <m/>
    <m/>
    <m/>
    <m/>
    <m/>
    <m/>
  </r>
  <r>
    <x v="0"/>
    <x v="0"/>
    <m/>
    <m/>
    <m/>
    <m/>
    <m/>
    <m/>
    <m/>
    <m/>
    <m/>
    <m/>
    <m/>
    <m/>
    <n v="464.66551939373409"/>
    <m/>
    <m/>
    <m/>
    <m/>
    <m/>
    <m/>
    <m/>
    <m/>
    <m/>
    <m/>
  </r>
  <r>
    <x v="0"/>
    <x v="1"/>
    <m/>
    <m/>
    <m/>
    <m/>
    <m/>
    <m/>
    <m/>
    <m/>
    <m/>
    <m/>
    <m/>
    <m/>
    <n v="203.79336092237287"/>
    <m/>
    <m/>
    <m/>
    <m/>
    <m/>
    <m/>
    <m/>
    <m/>
    <m/>
    <m/>
  </r>
  <r>
    <x v="0"/>
    <x v="4"/>
    <m/>
    <m/>
    <m/>
    <m/>
    <m/>
    <m/>
    <m/>
    <m/>
    <m/>
    <m/>
    <m/>
    <m/>
    <n v="-182.57938163233746"/>
    <m/>
    <m/>
    <m/>
    <m/>
    <m/>
    <m/>
    <m/>
    <m/>
    <m/>
    <m/>
  </r>
  <r>
    <x v="0"/>
    <x v="5"/>
    <m/>
    <m/>
    <m/>
    <m/>
    <m/>
    <m/>
    <m/>
    <m/>
    <m/>
    <m/>
    <m/>
    <m/>
    <n v="-182.57938163233746"/>
    <m/>
    <m/>
    <m/>
    <m/>
    <m/>
    <m/>
    <m/>
    <m/>
    <m/>
    <m/>
  </r>
  <r>
    <x v="0"/>
    <x v="6"/>
    <m/>
    <m/>
    <m/>
    <m/>
    <m/>
    <m/>
    <m/>
    <m/>
    <m/>
    <m/>
    <m/>
    <m/>
    <n v="-182.57938163233746"/>
    <m/>
    <m/>
    <m/>
    <m/>
    <m/>
    <m/>
    <m/>
    <m/>
    <m/>
    <m/>
  </r>
  <r>
    <x v="0"/>
    <x v="7"/>
    <m/>
    <m/>
    <m/>
    <m/>
    <m/>
    <m/>
    <m/>
    <m/>
    <m/>
    <m/>
    <m/>
    <m/>
    <n v="120.72073541909458"/>
    <m/>
    <m/>
    <m/>
    <m/>
    <m/>
    <m/>
    <m/>
    <m/>
    <m/>
    <m/>
  </r>
  <r>
    <x v="1"/>
    <x v="0"/>
    <m/>
    <m/>
    <m/>
    <m/>
    <m/>
    <m/>
    <m/>
    <m/>
    <m/>
    <m/>
    <m/>
    <m/>
    <n v="650.68932131673239"/>
    <m/>
    <m/>
    <m/>
    <m/>
    <m/>
    <m/>
    <m/>
    <m/>
    <m/>
    <m/>
  </r>
  <r>
    <x v="1"/>
    <x v="1"/>
    <m/>
    <m/>
    <m/>
    <m/>
    <m/>
    <m/>
    <m/>
    <m/>
    <m/>
    <m/>
    <m/>
    <m/>
    <n v="339.00181223681318"/>
    <m/>
    <m/>
    <m/>
    <m/>
    <m/>
    <m/>
    <m/>
    <m/>
    <m/>
    <m/>
  </r>
  <r>
    <x v="1"/>
    <x v="4"/>
    <m/>
    <m/>
    <m/>
    <m/>
    <m/>
    <m/>
    <m/>
    <m/>
    <m/>
    <m/>
    <m/>
    <m/>
    <n v="-262.33307330143003"/>
    <m/>
    <m/>
    <m/>
    <m/>
    <m/>
    <m/>
    <m/>
    <m/>
    <m/>
    <m/>
  </r>
  <r>
    <x v="1"/>
    <x v="5"/>
    <m/>
    <m/>
    <m/>
    <m/>
    <m/>
    <m/>
    <m/>
    <m/>
    <m/>
    <m/>
    <m/>
    <m/>
    <n v="-262.33307330143003"/>
    <m/>
    <m/>
    <m/>
    <m/>
    <m/>
    <m/>
    <m/>
    <m/>
    <m/>
    <m/>
  </r>
  <r>
    <x v="1"/>
    <x v="6"/>
    <m/>
    <m/>
    <m/>
    <m/>
    <m/>
    <m/>
    <m/>
    <m/>
    <m/>
    <m/>
    <m/>
    <m/>
    <n v="-262.33307330143003"/>
    <m/>
    <m/>
    <m/>
    <m/>
    <m/>
    <m/>
    <m/>
    <m/>
    <m/>
    <m/>
  </r>
  <r>
    <x v="1"/>
    <x v="7"/>
    <m/>
    <m/>
    <m/>
    <m/>
    <m/>
    <m/>
    <m/>
    <m/>
    <m/>
    <m/>
    <m/>
    <m/>
    <n v="202.69191364925553"/>
    <m/>
    <m/>
    <m/>
    <m/>
    <m/>
    <m/>
    <m/>
    <m/>
    <m/>
    <m/>
  </r>
  <r>
    <x v="2"/>
    <x v="0"/>
    <m/>
    <m/>
    <m/>
    <m/>
    <m/>
    <m/>
    <m/>
    <m/>
    <m/>
    <m/>
    <m/>
    <m/>
    <n v="110.46696554190393"/>
    <m/>
    <m/>
    <m/>
    <m/>
    <m/>
    <m/>
    <m/>
    <m/>
    <m/>
    <m/>
  </r>
  <r>
    <x v="2"/>
    <x v="1"/>
    <m/>
    <m/>
    <m/>
    <m/>
    <m/>
    <m/>
    <m/>
    <m/>
    <m/>
    <m/>
    <m/>
    <m/>
    <n v="161.80029887523727"/>
    <m/>
    <m/>
    <m/>
    <m/>
    <m/>
    <m/>
    <m/>
    <m/>
    <m/>
    <m/>
  </r>
  <r>
    <x v="2"/>
    <x v="4"/>
    <m/>
    <m/>
    <m/>
    <m/>
    <m/>
    <m/>
    <m/>
    <m/>
    <m/>
    <m/>
    <m/>
    <m/>
    <n v="-61.992451676336117"/>
    <m/>
    <m/>
    <m/>
    <m/>
    <m/>
    <m/>
    <m/>
    <m/>
    <m/>
    <m/>
  </r>
  <r>
    <x v="2"/>
    <x v="5"/>
    <m/>
    <m/>
    <m/>
    <m/>
    <m/>
    <m/>
    <m/>
    <m/>
    <m/>
    <m/>
    <m/>
    <m/>
    <n v="-61.992451676336117"/>
    <m/>
    <m/>
    <m/>
    <m/>
    <m/>
    <m/>
    <m/>
    <m/>
    <m/>
    <m/>
  </r>
  <r>
    <x v="2"/>
    <x v="6"/>
    <m/>
    <m/>
    <m/>
    <m/>
    <m/>
    <m/>
    <m/>
    <m/>
    <m/>
    <m/>
    <m/>
    <m/>
    <n v="-61.992451676336117"/>
    <m/>
    <m/>
    <m/>
    <m/>
    <m/>
    <m/>
    <m/>
    <m/>
    <m/>
    <m/>
  </r>
  <r>
    <x v="2"/>
    <x v="7"/>
    <m/>
    <m/>
    <m/>
    <m/>
    <m/>
    <m/>
    <m/>
    <m/>
    <m/>
    <m/>
    <m/>
    <m/>
    <n v="86.289909388132827"/>
    <m/>
    <m/>
    <m/>
    <m/>
    <m/>
    <m/>
    <m/>
    <m/>
    <m/>
    <m/>
  </r>
  <r>
    <x v="3"/>
    <x v="0"/>
    <m/>
    <m/>
    <m/>
    <m/>
    <m/>
    <m/>
    <m/>
    <m/>
    <m/>
    <m/>
    <m/>
    <m/>
    <n v="95.137216657908539"/>
    <m/>
    <m/>
    <m/>
    <m/>
    <m/>
    <m/>
    <m/>
    <m/>
    <m/>
    <m/>
  </r>
  <r>
    <x v="3"/>
    <x v="1"/>
    <m/>
    <m/>
    <m/>
    <m/>
    <m/>
    <m/>
    <m/>
    <m/>
    <m/>
    <m/>
    <m/>
    <m/>
    <n v="114.0239689388476"/>
    <m/>
    <m/>
    <m/>
    <m/>
    <m/>
    <m/>
    <m/>
    <m/>
    <m/>
    <m/>
  </r>
  <r>
    <x v="3"/>
    <x v="4"/>
    <m/>
    <m/>
    <m/>
    <m/>
    <m/>
    <m/>
    <m/>
    <m/>
    <m/>
    <m/>
    <m/>
    <m/>
    <n v="-46.361641120526905"/>
    <m/>
    <m/>
    <m/>
    <m/>
    <m/>
    <m/>
    <m/>
    <m/>
    <m/>
    <m/>
  </r>
  <r>
    <x v="3"/>
    <x v="5"/>
    <m/>
    <m/>
    <m/>
    <m/>
    <m/>
    <m/>
    <m/>
    <m/>
    <m/>
    <m/>
    <m/>
    <m/>
    <n v="-46.361641120526905"/>
    <m/>
    <m/>
    <m/>
    <m/>
    <m/>
    <m/>
    <m/>
    <m/>
    <m/>
    <m/>
  </r>
  <r>
    <x v="3"/>
    <x v="6"/>
    <m/>
    <m/>
    <m/>
    <m/>
    <m/>
    <m/>
    <m/>
    <m/>
    <m/>
    <m/>
    <m/>
    <m/>
    <n v="-46.361641120526905"/>
    <m/>
    <m/>
    <m/>
    <m/>
    <m/>
    <m/>
    <m/>
    <m/>
    <m/>
    <m/>
  </r>
  <r>
    <x v="3"/>
    <x v="7"/>
    <m/>
    <m/>
    <m/>
    <m/>
    <m/>
    <m/>
    <m/>
    <m/>
    <m/>
    <m/>
    <m/>
    <m/>
    <n v="70.076262235175392"/>
    <m/>
    <m/>
    <m/>
    <m/>
    <m/>
    <m/>
    <m/>
    <m/>
    <m/>
    <m/>
  </r>
  <r>
    <x v="4"/>
    <x v="0"/>
    <m/>
    <m/>
    <m/>
    <m/>
    <m/>
    <m/>
    <m/>
    <m/>
    <m/>
    <m/>
    <m/>
    <m/>
    <n v="31.558800365886498"/>
    <m/>
    <m/>
    <m/>
    <m/>
    <m/>
    <m/>
    <m/>
    <m/>
    <m/>
    <m/>
  </r>
  <r>
    <x v="4"/>
    <x v="1"/>
    <m/>
    <m/>
    <m/>
    <m/>
    <m/>
    <m/>
    <m/>
    <m/>
    <m/>
    <m/>
    <m/>
    <m/>
    <n v="19.581019418519247"/>
    <m/>
    <m/>
    <m/>
    <m/>
    <m/>
    <m/>
    <m/>
    <m/>
    <m/>
    <m/>
  </r>
  <r>
    <x v="4"/>
    <x v="4"/>
    <m/>
    <m/>
    <m/>
    <m/>
    <m/>
    <m/>
    <m/>
    <m/>
    <m/>
    <m/>
    <m/>
    <m/>
    <n v="-13.113205759598911"/>
    <m/>
    <m/>
    <m/>
    <m/>
    <m/>
    <m/>
    <m/>
    <m/>
    <m/>
    <m/>
  </r>
  <r>
    <x v="4"/>
    <x v="5"/>
    <m/>
    <m/>
    <m/>
    <m/>
    <m/>
    <m/>
    <m/>
    <m/>
    <m/>
    <m/>
    <m/>
    <m/>
    <n v="-13.113205759598911"/>
    <m/>
    <m/>
    <m/>
    <m/>
    <m/>
    <m/>
    <m/>
    <m/>
    <m/>
    <m/>
  </r>
  <r>
    <x v="4"/>
    <x v="6"/>
    <m/>
    <m/>
    <m/>
    <m/>
    <m/>
    <m/>
    <m/>
    <m/>
    <m/>
    <m/>
    <m/>
    <m/>
    <n v="-13.113205759598911"/>
    <m/>
    <m/>
    <m/>
    <m/>
    <m/>
    <m/>
    <m/>
    <m/>
    <m/>
    <m/>
  </r>
  <r>
    <x v="4"/>
    <x v="7"/>
    <m/>
    <m/>
    <m/>
    <m/>
    <m/>
    <m/>
    <m/>
    <m/>
    <m/>
    <m/>
    <m/>
    <m/>
    <n v="11.800202505609009"/>
    <m/>
    <m/>
    <m/>
    <m/>
    <m/>
    <m/>
    <m/>
    <m/>
    <m/>
    <m/>
  </r>
  <r>
    <x v="5"/>
    <x v="0"/>
    <m/>
    <m/>
    <m/>
    <m/>
    <m/>
    <m/>
    <m/>
    <m/>
    <m/>
    <m/>
    <m/>
    <m/>
    <n v="419.93081417472126"/>
    <m/>
    <m/>
    <m/>
    <m/>
    <m/>
    <m/>
    <m/>
    <m/>
    <m/>
    <m/>
  </r>
  <r>
    <x v="5"/>
    <x v="1"/>
    <m/>
    <m/>
    <m/>
    <m/>
    <m/>
    <m/>
    <m/>
    <m/>
    <m/>
    <m/>
    <m/>
    <m/>
    <n v="249.80509929305407"/>
    <m/>
    <m/>
    <m/>
    <m/>
    <m/>
    <m/>
    <m/>
    <m/>
    <m/>
    <m/>
  </r>
  <r>
    <x v="5"/>
    <x v="4"/>
    <m/>
    <m/>
    <m/>
    <m/>
    <m/>
    <m/>
    <m/>
    <m/>
    <m/>
    <m/>
    <m/>
    <m/>
    <n v="-173.15356864931849"/>
    <m/>
    <m/>
    <m/>
    <m/>
    <m/>
    <m/>
    <m/>
    <m/>
    <m/>
    <m/>
  </r>
  <r>
    <x v="5"/>
    <x v="5"/>
    <m/>
    <m/>
    <m/>
    <m/>
    <m/>
    <m/>
    <m/>
    <m/>
    <m/>
    <m/>
    <m/>
    <m/>
    <n v="-173.15356864931849"/>
    <m/>
    <m/>
    <m/>
    <m/>
    <m/>
    <m/>
    <m/>
    <m/>
    <m/>
    <m/>
  </r>
  <r>
    <x v="5"/>
    <x v="6"/>
    <m/>
    <m/>
    <m/>
    <m/>
    <m/>
    <m/>
    <m/>
    <m/>
    <m/>
    <m/>
    <m/>
    <m/>
    <n v="-173.15356864931849"/>
    <m/>
    <m/>
    <m/>
    <m/>
    <m/>
    <m/>
    <m/>
    <m/>
    <m/>
    <m/>
  </r>
  <r>
    <x v="5"/>
    <x v="7"/>
    <m/>
    <m/>
    <m/>
    <m/>
    <m/>
    <m/>
    <m/>
    <m/>
    <m/>
    <m/>
    <m/>
    <m/>
    <n v="150.27520751981999"/>
    <m/>
    <m/>
    <m/>
    <m/>
    <m/>
    <m/>
    <m/>
    <m/>
    <m/>
    <m/>
  </r>
  <r>
    <x v="6"/>
    <x v="0"/>
    <m/>
    <m/>
    <m/>
    <m/>
    <m/>
    <m/>
    <m/>
    <m/>
    <m/>
    <m/>
    <m/>
    <m/>
    <n v="206.04568270532809"/>
    <m/>
    <m/>
    <m/>
    <m/>
    <m/>
    <m/>
    <m/>
    <m/>
    <m/>
    <m/>
  </r>
  <r>
    <x v="6"/>
    <x v="1"/>
    <m/>
    <m/>
    <m/>
    <m/>
    <m/>
    <m/>
    <m/>
    <m/>
    <m/>
    <m/>
    <m/>
    <m/>
    <n v="94.700754641291653"/>
    <m/>
    <m/>
    <m/>
    <m/>
    <m/>
    <m/>
    <m/>
    <m/>
    <m/>
    <m/>
  </r>
  <r>
    <x v="6"/>
    <x v="4"/>
    <m/>
    <m/>
    <m/>
    <m/>
    <m/>
    <m/>
    <m/>
    <m/>
    <m/>
    <m/>
    <m/>
    <m/>
    <n v="-81.498984433714469"/>
    <m/>
    <m/>
    <m/>
    <m/>
    <m/>
    <m/>
    <m/>
    <m/>
    <m/>
    <m/>
  </r>
  <r>
    <x v="6"/>
    <x v="5"/>
    <m/>
    <m/>
    <m/>
    <m/>
    <m/>
    <m/>
    <m/>
    <m/>
    <m/>
    <m/>
    <m/>
    <m/>
    <n v="-81.498984433714469"/>
    <m/>
    <m/>
    <m/>
    <m/>
    <m/>
    <m/>
    <m/>
    <m/>
    <m/>
    <m/>
  </r>
  <r>
    <x v="6"/>
    <x v="6"/>
    <m/>
    <m/>
    <m/>
    <m/>
    <m/>
    <m/>
    <m/>
    <m/>
    <m/>
    <m/>
    <m/>
    <m/>
    <n v="-81.498984433714469"/>
    <m/>
    <m/>
    <m/>
    <m/>
    <m/>
    <m/>
    <m/>
    <m/>
    <m/>
    <m/>
  </r>
  <r>
    <x v="6"/>
    <x v="7"/>
    <m/>
    <m/>
    <m/>
    <m/>
    <m/>
    <m/>
    <m/>
    <m/>
    <m/>
    <m/>
    <m/>
    <m/>
    <n v="56.249484045476351"/>
    <m/>
    <m/>
    <m/>
    <m/>
    <m/>
    <m/>
    <m/>
    <m/>
    <m/>
    <m/>
  </r>
  <r>
    <x v="7"/>
    <x v="0"/>
    <m/>
    <m/>
    <m/>
    <m/>
    <m/>
    <m/>
    <m/>
    <m/>
    <m/>
    <m/>
    <m/>
    <m/>
    <n v="42.017079422555746"/>
    <m/>
    <m/>
    <m/>
    <m/>
    <m/>
    <m/>
    <m/>
    <m/>
    <m/>
    <m/>
  </r>
  <r>
    <x v="7"/>
    <x v="1"/>
    <m/>
    <m/>
    <m/>
    <m/>
    <m/>
    <m/>
    <m/>
    <m/>
    <m/>
    <m/>
    <m/>
    <m/>
    <n v="27.045678344482504"/>
    <m/>
    <m/>
    <m/>
    <m/>
    <m/>
    <m/>
    <m/>
    <m/>
    <m/>
    <m/>
  </r>
  <r>
    <x v="7"/>
    <x v="4"/>
    <m/>
    <m/>
    <m/>
    <m/>
    <m/>
    <m/>
    <m/>
    <m/>
    <m/>
    <m/>
    <m/>
    <m/>
    <n v="-17.579979344529661"/>
    <m/>
    <m/>
    <m/>
    <m/>
    <m/>
    <m/>
    <m/>
    <m/>
    <m/>
    <m/>
  </r>
  <r>
    <x v="7"/>
    <x v="5"/>
    <m/>
    <m/>
    <m/>
    <m/>
    <m/>
    <m/>
    <m/>
    <m/>
    <m/>
    <m/>
    <m/>
    <m/>
    <n v="-17.579979344529661"/>
    <m/>
    <m/>
    <m/>
    <m/>
    <m/>
    <m/>
    <m/>
    <m/>
    <m/>
    <m/>
  </r>
  <r>
    <x v="7"/>
    <x v="6"/>
    <m/>
    <m/>
    <m/>
    <m/>
    <m/>
    <m/>
    <m/>
    <m/>
    <m/>
    <m/>
    <m/>
    <m/>
    <n v="-17.579979344529661"/>
    <m/>
    <m/>
    <m/>
    <m/>
    <m/>
    <m/>
    <m/>
    <m/>
    <m/>
    <m/>
  </r>
  <r>
    <x v="7"/>
    <x v="7"/>
    <m/>
    <m/>
    <m/>
    <m/>
    <m/>
    <m/>
    <m/>
    <m/>
    <m/>
    <m/>
    <m/>
    <m/>
    <n v="16.322819733449265"/>
    <m/>
    <m/>
    <m/>
    <m/>
    <m/>
    <m/>
    <m/>
    <m/>
    <m/>
    <m/>
  </r>
  <r>
    <x v="8"/>
    <x v="0"/>
    <m/>
    <m/>
    <m/>
    <m/>
    <m/>
    <m/>
    <m/>
    <m/>
    <m/>
    <m/>
    <m/>
    <m/>
    <n v="197.61492811903051"/>
    <m/>
    <m/>
    <m/>
    <m/>
    <m/>
    <m/>
    <m/>
    <m/>
    <m/>
    <m/>
  </r>
  <r>
    <x v="8"/>
    <x v="1"/>
    <m/>
    <m/>
    <m/>
    <m/>
    <m/>
    <m/>
    <m/>
    <m/>
    <m/>
    <m/>
    <m/>
    <m/>
    <n v="107.70832633629603"/>
    <m/>
    <m/>
    <m/>
    <m/>
    <m/>
    <m/>
    <m/>
    <m/>
    <m/>
    <m/>
  </r>
  <r>
    <x v="8"/>
    <x v="4"/>
    <m/>
    <m/>
    <m/>
    <m/>
    <m/>
    <m/>
    <m/>
    <m/>
    <m/>
    <m/>
    <m/>
    <m/>
    <n v="-80.261147427470192"/>
    <m/>
    <m/>
    <m/>
    <m/>
    <m/>
    <m/>
    <m/>
    <m/>
    <m/>
    <m/>
  </r>
  <r>
    <x v="8"/>
    <x v="5"/>
    <m/>
    <m/>
    <m/>
    <m/>
    <m/>
    <m/>
    <m/>
    <m/>
    <m/>
    <m/>
    <m/>
    <m/>
    <n v="-80.261147427470192"/>
    <m/>
    <m/>
    <m/>
    <m/>
    <m/>
    <m/>
    <m/>
    <m/>
    <m/>
    <m/>
  </r>
  <r>
    <x v="8"/>
    <x v="6"/>
    <m/>
    <m/>
    <m/>
    <m/>
    <m/>
    <m/>
    <m/>
    <m/>
    <m/>
    <m/>
    <m/>
    <m/>
    <n v="-80.261147427470192"/>
    <m/>
    <m/>
    <m/>
    <m/>
    <m/>
    <m/>
    <m/>
    <m/>
    <m/>
    <m/>
  </r>
  <r>
    <x v="8"/>
    <x v="7"/>
    <m/>
    <m/>
    <m/>
    <m/>
    <m/>
    <m/>
    <m/>
    <m/>
    <m/>
    <m/>
    <m/>
    <m/>
    <n v="64.539812172916001"/>
    <m/>
    <m/>
    <m/>
    <m/>
    <m/>
    <m/>
    <m/>
    <m/>
    <m/>
    <m/>
  </r>
  <r>
    <x v="9"/>
    <x v="0"/>
    <m/>
    <m/>
    <m/>
    <m/>
    <m/>
    <m/>
    <m/>
    <m/>
    <m/>
    <m/>
    <m/>
    <m/>
    <n v="2634.4374439988942"/>
    <m/>
    <m/>
    <m/>
    <m/>
    <m/>
    <m/>
    <m/>
    <m/>
    <m/>
    <m/>
  </r>
  <r>
    <x v="9"/>
    <x v="1"/>
    <m/>
    <m/>
    <m/>
    <m/>
    <m/>
    <m/>
    <m/>
    <m/>
    <m/>
    <m/>
    <m/>
    <m/>
    <n v="1408.1251690226425"/>
    <m/>
    <m/>
    <m/>
    <m/>
    <m/>
    <m/>
    <m/>
    <m/>
    <m/>
    <m/>
  </r>
  <r>
    <x v="9"/>
    <x v="4"/>
    <m/>
    <m/>
    <m/>
    <m/>
    <m/>
    <m/>
    <m/>
    <m/>
    <m/>
    <m/>
    <m/>
    <m/>
    <n v="-1066.5277563214156"/>
    <m/>
    <m/>
    <m/>
    <m/>
    <m/>
    <m/>
    <m/>
    <m/>
    <m/>
    <m/>
  </r>
  <r>
    <x v="9"/>
    <x v="5"/>
    <m/>
    <m/>
    <m/>
    <m/>
    <m/>
    <m/>
    <m/>
    <m/>
    <m/>
    <m/>
    <m/>
    <m/>
    <n v="-1066.5277563214156"/>
    <m/>
    <m/>
    <m/>
    <m/>
    <m/>
    <m/>
    <m/>
    <m/>
    <m/>
    <m/>
  </r>
  <r>
    <x v="9"/>
    <x v="6"/>
    <m/>
    <m/>
    <m/>
    <m/>
    <m/>
    <m/>
    <m/>
    <m/>
    <m/>
    <m/>
    <m/>
    <m/>
    <n v="-1066.5277563214156"/>
    <m/>
    <m/>
    <m/>
    <m/>
    <m/>
    <m/>
    <m/>
    <m/>
    <m/>
    <m/>
  </r>
  <r>
    <x v="9"/>
    <x v="7"/>
    <m/>
    <m/>
    <m/>
    <m/>
    <m/>
    <m/>
    <m/>
    <m/>
    <m/>
    <m/>
    <m/>
    <m/>
    <n v="842.97934405728984"/>
    <m/>
    <m/>
    <m/>
    <m/>
    <m/>
    <m/>
    <m/>
    <m/>
    <m/>
    <m/>
  </r>
  <r>
    <x v="10"/>
    <x v="0"/>
    <m/>
    <m/>
    <m/>
    <m/>
    <m/>
    <m/>
    <m/>
    <m/>
    <m/>
    <m/>
    <m/>
    <m/>
    <n v="4122.8640125280526"/>
    <m/>
    <m/>
    <m/>
    <m/>
    <m/>
    <m/>
    <m/>
    <m/>
    <m/>
    <m/>
  </r>
  <r>
    <x v="10"/>
    <x v="1"/>
    <m/>
    <m/>
    <m/>
    <m/>
    <m/>
    <m/>
    <m/>
    <m/>
    <m/>
    <m/>
    <m/>
    <m/>
    <n v="1819.858999078192"/>
    <m/>
    <m/>
    <m/>
    <m/>
    <m/>
    <m/>
    <m/>
    <m/>
    <m/>
    <m/>
  </r>
  <r>
    <x v="10"/>
    <x v="4"/>
    <m/>
    <m/>
    <m/>
    <m/>
    <m/>
    <m/>
    <m/>
    <m/>
    <m/>
    <m/>
    <m/>
    <m/>
    <n v="-1621.4293790018082"/>
    <m/>
    <m/>
    <m/>
    <m/>
    <m/>
    <m/>
    <m/>
    <m/>
    <m/>
    <m/>
  </r>
  <r>
    <x v="10"/>
    <x v="5"/>
    <m/>
    <m/>
    <m/>
    <m/>
    <m/>
    <m/>
    <m/>
    <m/>
    <m/>
    <m/>
    <m/>
    <m/>
    <n v="-1621.4293790018082"/>
    <m/>
    <m/>
    <m/>
    <m/>
    <m/>
    <m/>
    <m/>
    <m/>
    <m/>
    <m/>
  </r>
  <r>
    <x v="10"/>
    <x v="6"/>
    <m/>
    <m/>
    <m/>
    <m/>
    <m/>
    <m/>
    <m/>
    <m/>
    <m/>
    <m/>
    <m/>
    <m/>
    <n v="-1621.4293790018082"/>
    <m/>
    <m/>
    <m/>
    <m/>
    <m/>
    <m/>
    <m/>
    <m/>
    <m/>
    <m/>
  </r>
  <r>
    <x v="10"/>
    <x v="7"/>
    <m/>
    <m/>
    <m/>
    <m/>
    <m/>
    <m/>
    <m/>
    <m/>
    <m/>
    <m/>
    <m/>
    <m/>
    <n v="1078.43487460082"/>
    <m/>
    <m/>
    <m/>
    <m/>
    <m/>
    <m/>
    <m/>
    <m/>
    <m/>
    <m/>
  </r>
  <r>
    <x v="11"/>
    <x v="0"/>
    <m/>
    <m/>
    <m/>
    <m/>
    <m/>
    <m/>
    <m/>
    <m/>
    <m/>
    <m/>
    <m/>
    <m/>
    <n v="215.21162674898099"/>
    <m/>
    <m/>
    <m/>
    <m/>
    <m/>
    <m/>
    <m/>
    <m/>
    <m/>
    <m/>
  </r>
  <r>
    <x v="11"/>
    <x v="1"/>
    <m/>
    <m/>
    <m/>
    <m/>
    <m/>
    <m/>
    <m/>
    <m/>
    <m/>
    <m/>
    <m/>
    <m/>
    <n v="288.81162674898098"/>
    <m/>
    <m/>
    <m/>
    <m/>
    <m/>
    <m/>
    <m/>
    <m/>
    <m/>
    <m/>
  </r>
  <r>
    <x v="11"/>
    <x v="4"/>
    <m/>
    <m/>
    <m/>
    <m/>
    <m/>
    <m/>
    <m/>
    <m/>
    <m/>
    <m/>
    <m/>
    <m/>
    <n v="-110.65579568926474"/>
    <m/>
    <m/>
    <m/>
    <m/>
    <m/>
    <m/>
    <m/>
    <m/>
    <m/>
    <m/>
  </r>
  <r>
    <x v="11"/>
    <x v="5"/>
    <m/>
    <m/>
    <m/>
    <m/>
    <m/>
    <m/>
    <m/>
    <m/>
    <m/>
    <m/>
    <m/>
    <m/>
    <n v="-110.65579568926474"/>
    <m/>
    <m/>
    <m/>
    <m/>
    <m/>
    <m/>
    <m/>
    <m/>
    <m/>
    <m/>
  </r>
  <r>
    <x v="11"/>
    <x v="6"/>
    <m/>
    <m/>
    <m/>
    <m/>
    <m/>
    <m/>
    <m/>
    <m/>
    <m/>
    <m/>
    <m/>
    <m/>
    <n v="-110.65579568926474"/>
    <m/>
    <m/>
    <m/>
    <m/>
    <m/>
    <m/>
    <m/>
    <m/>
    <m/>
    <m/>
  </r>
  <r>
    <x v="11"/>
    <x v="7"/>
    <m/>
    <m/>
    <m/>
    <m/>
    <m/>
    <m/>
    <m/>
    <m/>
    <m/>
    <m/>
    <m/>
    <m/>
    <n v="172.05586643016778"/>
    <m/>
    <m/>
    <m/>
    <m/>
    <m/>
    <m/>
    <m/>
    <m/>
    <m/>
    <m/>
  </r>
  <r>
    <x v="12"/>
    <x v="0"/>
    <m/>
    <m/>
    <m/>
    <m/>
    <m/>
    <m/>
    <m/>
    <m/>
    <m/>
    <m/>
    <m/>
    <m/>
    <n v="270.75451242976135"/>
    <m/>
    <m/>
    <m/>
    <m/>
    <m/>
    <m/>
    <m/>
    <m/>
    <m/>
    <m/>
  </r>
  <r>
    <x v="12"/>
    <x v="1"/>
    <m/>
    <m/>
    <m/>
    <m/>
    <m/>
    <m/>
    <m/>
    <m/>
    <m/>
    <m/>
    <m/>
    <m/>
    <n v="275.51354542234367"/>
    <m/>
    <m/>
    <m/>
    <m/>
    <m/>
    <m/>
    <m/>
    <m/>
    <m/>
    <m/>
  </r>
  <r>
    <x v="12"/>
    <x v="4"/>
    <m/>
    <m/>
    <m/>
    <m/>
    <m/>
    <m/>
    <m/>
    <m/>
    <m/>
    <m/>
    <m/>
    <m/>
    <n v="-125.85741216976808"/>
    <m/>
    <m/>
    <m/>
    <m/>
    <m/>
    <m/>
    <m/>
    <m/>
    <m/>
    <m/>
  </r>
  <r>
    <x v="12"/>
    <x v="5"/>
    <m/>
    <m/>
    <m/>
    <m/>
    <m/>
    <m/>
    <m/>
    <m/>
    <m/>
    <m/>
    <m/>
    <m/>
    <n v="-125.85741216976808"/>
    <m/>
    <m/>
    <m/>
    <m/>
    <m/>
    <m/>
    <m/>
    <m/>
    <m/>
    <m/>
  </r>
  <r>
    <x v="12"/>
    <x v="6"/>
    <m/>
    <m/>
    <m/>
    <m/>
    <m/>
    <m/>
    <m/>
    <m/>
    <m/>
    <m/>
    <m/>
    <m/>
    <n v="-125.85741216976808"/>
    <m/>
    <m/>
    <m/>
    <m/>
    <m/>
    <m/>
    <m/>
    <m/>
    <m/>
    <m/>
  </r>
  <r>
    <x v="12"/>
    <x v="7"/>
    <m/>
    <m/>
    <m/>
    <m/>
    <m/>
    <m/>
    <m/>
    <m/>
    <m/>
    <m/>
    <m/>
    <m/>
    <n v="168.69582134280083"/>
    <m/>
    <m/>
    <m/>
    <m/>
    <m/>
    <m/>
    <m/>
    <m/>
    <m/>
    <m/>
  </r>
  <r>
    <x v="13"/>
    <x v="0"/>
    <m/>
    <m/>
    <m/>
    <m/>
    <m/>
    <m/>
    <m/>
    <m/>
    <m/>
    <m/>
    <m/>
    <m/>
    <n v="260.37088220924937"/>
    <m/>
    <m/>
    <m/>
    <m/>
    <m/>
    <m/>
    <m/>
    <m/>
    <m/>
    <m/>
  </r>
  <r>
    <x v="13"/>
    <x v="1"/>
    <m/>
    <m/>
    <m/>
    <m/>
    <m/>
    <m/>
    <m/>
    <m/>
    <m/>
    <m/>
    <m/>
    <m/>
    <n v="135.63496127231872"/>
    <m/>
    <m/>
    <m/>
    <m/>
    <m/>
    <m/>
    <m/>
    <m/>
    <m/>
    <m/>
  </r>
  <r>
    <x v="13"/>
    <x v="4"/>
    <m/>
    <m/>
    <m/>
    <m/>
    <m/>
    <m/>
    <m/>
    <m/>
    <m/>
    <m/>
    <m/>
    <m/>
    <n v="-104.96968667021049"/>
    <m/>
    <m/>
    <m/>
    <m/>
    <m/>
    <m/>
    <m/>
    <m/>
    <m/>
    <m/>
  </r>
  <r>
    <x v="13"/>
    <x v="5"/>
    <m/>
    <m/>
    <m/>
    <m/>
    <m/>
    <m/>
    <m/>
    <m/>
    <m/>
    <m/>
    <m/>
    <m/>
    <n v="-104.96968667021049"/>
    <m/>
    <m/>
    <m/>
    <m/>
    <m/>
    <m/>
    <m/>
    <m/>
    <m/>
    <m/>
  </r>
  <r>
    <x v="13"/>
    <x v="6"/>
    <m/>
    <m/>
    <m/>
    <m/>
    <m/>
    <m/>
    <m/>
    <m/>
    <m/>
    <m/>
    <m/>
    <m/>
    <n v="-104.96968667021049"/>
    <m/>
    <m/>
    <m/>
    <m/>
    <m/>
    <m/>
    <m/>
    <m/>
    <m/>
    <m/>
  </r>
  <r>
    <x v="13"/>
    <x v="7"/>
    <m/>
    <m/>
    <m/>
    <m/>
    <m/>
    <m/>
    <m/>
    <m/>
    <m/>
    <m/>
    <m/>
    <m/>
    <n v="81.096783470936643"/>
    <m/>
    <m/>
    <m/>
    <m/>
    <m/>
    <m/>
    <m/>
    <m/>
    <m/>
    <m/>
  </r>
  <r>
    <x v="14"/>
    <x v="0"/>
    <m/>
    <m/>
    <m/>
    <m/>
    <m/>
    <m/>
    <m/>
    <m/>
    <m/>
    <m/>
    <m/>
    <m/>
    <n v="2207.0112588961597"/>
    <m/>
    <m/>
    <m/>
    <m/>
    <m/>
    <m/>
    <m/>
    <m/>
    <m/>
    <m/>
  </r>
  <r>
    <x v="14"/>
    <x v="1"/>
    <m/>
    <m/>
    <m/>
    <m/>
    <m/>
    <m/>
    <m/>
    <m/>
    <m/>
    <m/>
    <m/>
    <m/>
    <n v="1238.7071988118212"/>
    <m/>
    <m/>
    <m/>
    <m/>
    <m/>
    <m/>
    <m/>
    <m/>
    <m/>
    <m/>
  </r>
  <r>
    <x v="14"/>
    <x v="4"/>
    <m/>
    <m/>
    <m/>
    <m/>
    <m/>
    <m/>
    <m/>
    <m/>
    <m/>
    <m/>
    <m/>
    <m/>
    <n v="-900.82168284654892"/>
    <m/>
    <m/>
    <m/>
    <m/>
    <m/>
    <m/>
    <m/>
    <m/>
    <m/>
    <m/>
  </r>
  <r>
    <x v="14"/>
    <x v="5"/>
    <m/>
    <m/>
    <m/>
    <m/>
    <m/>
    <m/>
    <m/>
    <m/>
    <m/>
    <m/>
    <m/>
    <m/>
    <n v="-900.82168284654892"/>
    <m/>
    <m/>
    <m/>
    <m/>
    <m/>
    <m/>
    <m/>
    <m/>
    <m/>
    <m/>
  </r>
  <r>
    <x v="14"/>
    <x v="6"/>
    <m/>
    <m/>
    <m/>
    <m/>
    <m/>
    <m/>
    <m/>
    <m/>
    <m/>
    <m/>
    <m/>
    <m/>
    <n v="-900.82168284654892"/>
    <m/>
    <m/>
    <m/>
    <m/>
    <m/>
    <m/>
    <m/>
    <m/>
    <m/>
    <m/>
  </r>
  <r>
    <x v="14"/>
    <x v="7"/>
    <m/>
    <m/>
    <m/>
    <m/>
    <m/>
    <m/>
    <m/>
    <m/>
    <m/>
    <m/>
    <m/>
    <m/>
    <n v="743.25340916833409"/>
    <m/>
    <m/>
    <m/>
    <m/>
    <m/>
    <m/>
    <m/>
    <m/>
    <m/>
    <m/>
  </r>
  <r>
    <x v="15"/>
    <x v="0"/>
    <m/>
    <m/>
    <m/>
    <m/>
    <m/>
    <m/>
    <m/>
    <m/>
    <m/>
    <m/>
    <m/>
    <m/>
    <n v="48.174524061926761"/>
    <m/>
    <m/>
    <m/>
    <m/>
    <m/>
    <m/>
    <m/>
    <m/>
    <m/>
    <m/>
  </r>
  <r>
    <x v="15"/>
    <x v="1"/>
    <m/>
    <m/>
    <m/>
    <m/>
    <m/>
    <m/>
    <m/>
    <m/>
    <m/>
    <m/>
    <m/>
    <m/>
    <n v="46.536017133194484"/>
    <m/>
    <m/>
    <m/>
    <m/>
    <m/>
    <m/>
    <m/>
    <m/>
    <m/>
    <m/>
  </r>
  <r>
    <x v="15"/>
    <x v="4"/>
    <m/>
    <m/>
    <m/>
    <m/>
    <m/>
    <m/>
    <m/>
    <m/>
    <m/>
    <m/>
    <m/>
    <m/>
    <n v="-22.084747405591351"/>
    <m/>
    <m/>
    <m/>
    <m/>
    <m/>
    <m/>
    <m/>
    <m/>
    <m/>
    <m/>
  </r>
  <r>
    <x v="15"/>
    <x v="5"/>
    <m/>
    <m/>
    <m/>
    <m/>
    <m/>
    <m/>
    <m/>
    <m/>
    <m/>
    <m/>
    <m/>
    <m/>
    <n v="-22.084747405591351"/>
    <m/>
    <m/>
    <m/>
    <m/>
    <m/>
    <m/>
    <m/>
    <m/>
    <m/>
    <m/>
  </r>
  <r>
    <x v="15"/>
    <x v="6"/>
    <m/>
    <m/>
    <m/>
    <m/>
    <m/>
    <m/>
    <m/>
    <m/>
    <m/>
    <m/>
    <m/>
    <m/>
    <n v="-22.084747405591351"/>
    <m/>
    <m/>
    <m/>
    <m/>
    <m/>
    <m/>
    <m/>
    <m/>
    <m/>
    <m/>
  </r>
  <r>
    <x v="15"/>
    <x v="7"/>
    <m/>
    <m/>
    <m/>
    <m/>
    <m/>
    <m/>
    <m/>
    <m/>
    <m/>
    <m/>
    <m/>
    <m/>
    <n v="28.456298978347192"/>
    <m/>
    <m/>
    <m/>
    <m/>
    <m/>
    <m/>
    <m/>
    <m/>
    <m/>
    <m/>
  </r>
  <r>
    <x v="16"/>
    <x v="0"/>
    <m/>
    <m/>
    <m/>
    <m/>
    <m/>
    <m/>
    <m/>
    <m/>
    <m/>
    <m/>
    <m/>
    <m/>
    <n v="82.887751519082428"/>
    <m/>
    <m/>
    <m/>
    <m/>
    <m/>
    <m/>
    <m/>
    <m/>
    <m/>
    <m/>
  </r>
  <r>
    <x v="16"/>
    <x v="1"/>
    <m/>
    <m/>
    <m/>
    <m/>
    <m/>
    <m/>
    <m/>
    <m/>
    <m/>
    <m/>
    <m/>
    <m/>
    <n v="71.776376764382874"/>
    <m/>
    <m/>
    <m/>
    <m/>
    <m/>
    <m/>
    <m/>
    <m/>
    <m/>
    <m/>
  </r>
  <r>
    <x v="16"/>
    <x v="4"/>
    <m/>
    <m/>
    <m/>
    <m/>
    <m/>
    <m/>
    <m/>
    <m/>
    <m/>
    <m/>
    <m/>
    <m/>
    <n v="-36.96848717206224"/>
    <m/>
    <m/>
    <m/>
    <m/>
    <m/>
    <m/>
    <m/>
    <m/>
    <m/>
    <m/>
  </r>
  <r>
    <x v="16"/>
    <x v="5"/>
    <m/>
    <m/>
    <m/>
    <m/>
    <m/>
    <m/>
    <m/>
    <m/>
    <m/>
    <m/>
    <m/>
    <m/>
    <n v="-36.96848717206224"/>
    <m/>
    <m/>
    <m/>
    <m/>
    <m/>
    <m/>
    <m/>
    <m/>
    <m/>
    <m/>
  </r>
  <r>
    <x v="16"/>
    <x v="6"/>
    <m/>
    <m/>
    <m/>
    <m/>
    <m/>
    <m/>
    <m/>
    <m/>
    <m/>
    <m/>
    <m/>
    <m/>
    <n v="-36.96848717206224"/>
    <m/>
    <m/>
    <m/>
    <m/>
    <m/>
    <m/>
    <m/>
    <m/>
    <m/>
    <m/>
  </r>
  <r>
    <x v="16"/>
    <x v="7"/>
    <m/>
    <m/>
    <m/>
    <m/>
    <m/>
    <m/>
    <m/>
    <m/>
    <m/>
    <m/>
    <m/>
    <m/>
    <n v="43.758666767278569"/>
    <m/>
    <m/>
    <m/>
    <m/>
    <m/>
    <m/>
    <m/>
    <m/>
    <m/>
    <m/>
  </r>
  <r>
    <x v="17"/>
    <x v="0"/>
    <m/>
    <m/>
    <m/>
    <m/>
    <m/>
    <m/>
    <m/>
    <m/>
    <m/>
    <m/>
    <m/>
    <m/>
    <n v="98.124573751711054"/>
    <m/>
    <m/>
    <m/>
    <m/>
    <m/>
    <m/>
    <m/>
    <m/>
    <m/>
    <m/>
  </r>
  <r>
    <x v="17"/>
    <x v="1"/>
    <m/>
    <m/>
    <m/>
    <m/>
    <m/>
    <m/>
    <m/>
    <m/>
    <m/>
    <m/>
    <m/>
    <m/>
    <n v="39.418374648950675"/>
    <m/>
    <m/>
    <m/>
    <m/>
    <m/>
    <m/>
    <m/>
    <m/>
    <m/>
    <m/>
  </r>
  <r>
    <x v="17"/>
    <x v="4"/>
    <m/>
    <m/>
    <m/>
    <m/>
    <m/>
    <m/>
    <m/>
    <m/>
    <m/>
    <m/>
    <m/>
    <m/>
    <n v="-38.106477810361838"/>
    <m/>
    <m/>
    <m/>
    <m/>
    <m/>
    <m/>
    <m/>
    <m/>
    <m/>
    <m/>
  </r>
  <r>
    <x v="17"/>
    <x v="5"/>
    <m/>
    <m/>
    <m/>
    <m/>
    <m/>
    <m/>
    <m/>
    <m/>
    <m/>
    <m/>
    <m/>
    <m/>
    <n v="-38.106477810361838"/>
    <m/>
    <m/>
    <m/>
    <m/>
    <m/>
    <m/>
    <m/>
    <m/>
    <m/>
    <m/>
  </r>
  <r>
    <x v="17"/>
    <x v="6"/>
    <m/>
    <m/>
    <m/>
    <m/>
    <m/>
    <m/>
    <m/>
    <m/>
    <m/>
    <m/>
    <m/>
    <m/>
    <n v="-38.106477810361838"/>
    <m/>
    <m/>
    <m/>
    <m/>
    <m/>
    <m/>
    <m/>
    <m/>
    <m/>
    <m/>
  </r>
  <r>
    <x v="17"/>
    <x v="7"/>
    <m/>
    <m/>
    <m/>
    <m/>
    <m/>
    <m/>
    <m/>
    <m/>
    <m/>
    <m/>
    <m/>
    <m/>
    <n v="23.2235149695762"/>
    <m/>
    <m/>
    <m/>
    <m/>
    <m/>
    <m/>
    <m/>
    <m/>
    <m/>
    <m/>
  </r>
  <r>
    <x v="18"/>
    <x v="0"/>
    <m/>
    <m/>
    <m/>
    <m/>
    <m/>
    <m/>
    <m/>
    <m/>
    <m/>
    <m/>
    <m/>
    <m/>
    <n v="8.8219144204526003"/>
    <m/>
    <m/>
    <m/>
    <m/>
    <m/>
    <m/>
    <m/>
    <m/>
    <m/>
    <m/>
  </r>
  <r>
    <x v="18"/>
    <x v="1"/>
    <m/>
    <m/>
    <m/>
    <m/>
    <m/>
    <m/>
    <m/>
    <m/>
    <m/>
    <m/>
    <m/>
    <m/>
    <n v="6.0532799443635836"/>
    <m/>
    <m/>
    <m/>
    <m/>
    <m/>
    <m/>
    <m/>
    <m/>
    <m/>
    <m/>
  </r>
  <r>
    <x v="18"/>
    <x v="4"/>
    <m/>
    <m/>
    <m/>
    <m/>
    <m/>
    <m/>
    <m/>
    <m/>
    <m/>
    <m/>
    <m/>
    <m/>
    <n v="-3.7376428175425032"/>
    <m/>
    <m/>
    <m/>
    <m/>
    <m/>
    <m/>
    <m/>
    <m/>
    <m/>
    <m/>
  </r>
  <r>
    <x v="18"/>
    <x v="5"/>
    <m/>
    <m/>
    <m/>
    <m/>
    <m/>
    <m/>
    <m/>
    <m/>
    <m/>
    <m/>
    <m/>
    <m/>
    <n v="-3.7376428175425032"/>
    <m/>
    <m/>
    <m/>
    <m/>
    <m/>
    <m/>
    <m/>
    <m/>
    <m/>
    <m/>
  </r>
  <r>
    <x v="18"/>
    <x v="6"/>
    <m/>
    <m/>
    <m/>
    <m/>
    <m/>
    <m/>
    <m/>
    <m/>
    <m/>
    <m/>
    <m/>
    <m/>
    <n v="-3.7376428175425032"/>
    <m/>
    <m/>
    <m/>
    <m/>
    <m/>
    <m/>
    <m/>
    <m/>
    <m/>
    <m/>
  </r>
  <r>
    <x v="18"/>
    <x v="7"/>
    <m/>
    <m/>
    <m/>
    <m/>
    <m/>
    <m/>
    <m/>
    <m/>
    <m/>
    <m/>
    <m/>
    <m/>
    <n v="3.6622659121886745"/>
    <m/>
    <m/>
    <m/>
    <m/>
    <m/>
    <m/>
    <m/>
    <m/>
    <m/>
    <m/>
  </r>
  <r>
    <x v="19"/>
    <x v="0"/>
    <m/>
    <m/>
    <m/>
    <m/>
    <m/>
    <m/>
    <m/>
    <m/>
    <m/>
    <m/>
    <m/>
    <m/>
    <n v="729.74658710421738"/>
    <m/>
    <m/>
    <m/>
    <m/>
    <m/>
    <m/>
    <m/>
    <m/>
    <m/>
    <m/>
  </r>
  <r>
    <x v="19"/>
    <x v="1"/>
    <m/>
    <m/>
    <m/>
    <m/>
    <m/>
    <m/>
    <m/>
    <m/>
    <m/>
    <m/>
    <m/>
    <m/>
    <n v="308.21850843346112"/>
    <m/>
    <m/>
    <m/>
    <m/>
    <m/>
    <m/>
    <m/>
    <m/>
    <m/>
    <m/>
  </r>
  <r>
    <x v="19"/>
    <x v="4"/>
    <m/>
    <m/>
    <m/>
    <m/>
    <m/>
    <m/>
    <m/>
    <m/>
    <m/>
    <m/>
    <m/>
    <m/>
    <n v="-285.26689161081123"/>
    <m/>
    <m/>
    <m/>
    <m/>
    <m/>
    <m/>
    <m/>
    <m/>
    <m/>
    <m/>
  </r>
  <r>
    <x v="19"/>
    <x v="5"/>
    <m/>
    <m/>
    <m/>
    <m/>
    <m/>
    <m/>
    <m/>
    <m/>
    <m/>
    <m/>
    <m/>
    <m/>
    <n v="-285.26689161081123"/>
    <m/>
    <m/>
    <m/>
    <m/>
    <m/>
    <m/>
    <m/>
    <m/>
    <m/>
    <m/>
  </r>
  <r>
    <x v="19"/>
    <x v="6"/>
    <m/>
    <m/>
    <m/>
    <m/>
    <m/>
    <m/>
    <m/>
    <m/>
    <m/>
    <m/>
    <m/>
    <m/>
    <n v="-285.26689161081123"/>
    <m/>
    <m/>
    <m/>
    <m/>
    <m/>
    <m/>
    <m/>
    <m/>
    <m/>
    <m/>
  </r>
  <r>
    <x v="19"/>
    <x v="7"/>
    <m/>
    <m/>
    <m/>
    <m/>
    <m/>
    <m/>
    <m/>
    <m/>
    <m/>
    <m/>
    <m/>
    <m/>
    <n v="182.16442070524488"/>
    <m/>
    <m/>
    <m/>
    <m/>
    <m/>
    <m/>
    <m/>
    <m/>
    <m/>
    <m/>
  </r>
  <r>
    <x v="20"/>
    <x v="0"/>
    <m/>
    <m/>
    <m/>
    <m/>
    <m/>
    <m/>
    <m/>
    <m/>
    <m/>
    <m/>
    <m/>
    <m/>
    <n v="1211.8282189782794"/>
    <m/>
    <m/>
    <m/>
    <m/>
    <m/>
    <m/>
    <m/>
    <m/>
    <m/>
    <m/>
  </r>
  <r>
    <x v="20"/>
    <x v="1"/>
    <m/>
    <m/>
    <m/>
    <m/>
    <m/>
    <m/>
    <m/>
    <m/>
    <m/>
    <m/>
    <m/>
    <m/>
    <n v="1159.9167823258692"/>
    <m/>
    <m/>
    <m/>
    <m/>
    <m/>
    <m/>
    <m/>
    <m/>
    <m/>
    <m/>
  </r>
  <r>
    <x v="20"/>
    <x v="4"/>
    <m/>
    <m/>
    <m/>
    <m/>
    <m/>
    <m/>
    <m/>
    <m/>
    <m/>
    <m/>
    <m/>
    <m/>
    <n v="-554.2125998639641"/>
    <m/>
    <m/>
    <m/>
    <m/>
    <m/>
    <m/>
    <m/>
    <m/>
    <m/>
    <m/>
  </r>
  <r>
    <x v="20"/>
    <x v="5"/>
    <m/>
    <m/>
    <m/>
    <m/>
    <m/>
    <m/>
    <m/>
    <m/>
    <m/>
    <m/>
    <m/>
    <m/>
    <n v="-554.2125998639641"/>
    <m/>
    <m/>
    <m/>
    <m/>
    <m/>
    <m/>
    <m/>
    <m/>
    <m/>
    <m/>
  </r>
  <r>
    <x v="20"/>
    <x v="6"/>
    <m/>
    <m/>
    <m/>
    <m/>
    <m/>
    <m/>
    <m/>
    <m/>
    <m/>
    <m/>
    <m/>
    <m/>
    <n v="-554.2125998639641"/>
    <m/>
    <m/>
    <m/>
    <m/>
    <m/>
    <m/>
    <m/>
    <m/>
    <m/>
    <m/>
  </r>
  <r>
    <x v="20"/>
    <x v="7"/>
    <m/>
    <m/>
    <m/>
    <m/>
    <m/>
    <m/>
    <m/>
    <m/>
    <m/>
    <m/>
    <m/>
    <m/>
    <n v="709.10720171225682"/>
    <m/>
    <m/>
    <m/>
    <m/>
    <m/>
    <m/>
    <m/>
    <m/>
    <m/>
    <m/>
  </r>
  <r>
    <x v="21"/>
    <x v="0"/>
    <m/>
    <m/>
    <m/>
    <m/>
    <m/>
    <m/>
    <m/>
    <m/>
    <m/>
    <m/>
    <m/>
    <m/>
    <n v="256.84046636080296"/>
    <m/>
    <m/>
    <m/>
    <m/>
    <m/>
    <m/>
    <m/>
    <m/>
    <m/>
    <m/>
  </r>
  <r>
    <x v="21"/>
    <x v="1"/>
    <m/>
    <m/>
    <m/>
    <m/>
    <m/>
    <m/>
    <m/>
    <m/>
    <m/>
    <m/>
    <m/>
    <m/>
    <n v="169.73709787339968"/>
    <m/>
    <m/>
    <m/>
    <m/>
    <m/>
    <m/>
    <m/>
    <m/>
    <m/>
    <m/>
  </r>
  <r>
    <x v="21"/>
    <x v="4"/>
    <m/>
    <m/>
    <m/>
    <m/>
    <m/>
    <m/>
    <m/>
    <m/>
    <m/>
    <m/>
    <m/>
    <m/>
    <n v="-108.01039579596538"/>
    <m/>
    <m/>
    <m/>
    <m/>
    <m/>
    <m/>
    <m/>
    <m/>
    <m/>
    <m/>
  </r>
  <r>
    <x v="21"/>
    <x v="5"/>
    <m/>
    <m/>
    <m/>
    <m/>
    <m/>
    <m/>
    <m/>
    <m/>
    <m/>
    <m/>
    <m/>
    <m/>
    <n v="-108.01039579596538"/>
    <m/>
    <m/>
    <m/>
    <m/>
    <m/>
    <m/>
    <m/>
    <m/>
    <m/>
    <m/>
  </r>
  <r>
    <x v="21"/>
    <x v="6"/>
    <m/>
    <m/>
    <m/>
    <m/>
    <m/>
    <m/>
    <m/>
    <m/>
    <m/>
    <m/>
    <m/>
    <m/>
    <n v="-108.01039579596538"/>
    <m/>
    <m/>
    <m/>
    <m/>
    <m/>
    <m/>
    <m/>
    <m/>
    <m/>
    <m/>
  </r>
  <r>
    <x v="21"/>
    <x v="7"/>
    <m/>
    <m/>
    <m/>
    <m/>
    <m/>
    <m/>
    <m/>
    <m/>
    <m/>
    <m/>
    <m/>
    <m/>
    <n v="102.5463768463065"/>
    <m/>
    <m/>
    <m/>
    <m/>
    <m/>
    <m/>
    <m/>
    <m/>
    <m/>
    <m/>
  </r>
  <r>
    <x v="22"/>
    <x v="0"/>
    <m/>
    <m/>
    <m/>
    <m/>
    <m/>
    <m/>
    <m/>
    <m/>
    <m/>
    <m/>
    <m/>
    <m/>
    <n v="322.30708885266688"/>
    <m/>
    <m/>
    <m/>
    <m/>
    <m/>
    <m/>
    <m/>
    <m/>
    <m/>
    <m/>
  </r>
  <r>
    <x v="22"/>
    <x v="1"/>
    <m/>
    <m/>
    <m/>
    <m/>
    <m/>
    <m/>
    <m/>
    <m/>
    <m/>
    <m/>
    <m/>
    <m/>
    <n v="445.64042218600019"/>
    <m/>
    <m/>
    <m/>
    <m/>
    <m/>
    <m/>
    <m/>
    <m/>
    <m/>
    <m/>
  </r>
  <r>
    <x v="22"/>
    <x v="4"/>
    <m/>
    <m/>
    <m/>
    <m/>
    <m/>
    <m/>
    <m/>
    <m/>
    <m/>
    <m/>
    <m/>
    <m/>
    <n v="-170.7434567762453"/>
    <m/>
    <m/>
    <m/>
    <m/>
    <m/>
    <m/>
    <m/>
    <m/>
    <m/>
    <m/>
  </r>
  <r>
    <x v="22"/>
    <x v="5"/>
    <m/>
    <m/>
    <m/>
    <m/>
    <m/>
    <m/>
    <m/>
    <m/>
    <m/>
    <m/>
    <m/>
    <m/>
    <n v="-170.7434567762453"/>
    <m/>
    <m/>
    <m/>
    <m/>
    <m/>
    <m/>
    <m/>
    <m/>
    <m/>
    <m/>
  </r>
  <r>
    <x v="22"/>
    <x v="6"/>
    <m/>
    <m/>
    <m/>
    <m/>
    <m/>
    <m/>
    <m/>
    <m/>
    <m/>
    <m/>
    <m/>
    <m/>
    <n v="-170.7434567762453"/>
    <m/>
    <m/>
    <m/>
    <m/>
    <m/>
    <m/>
    <m/>
    <m/>
    <m/>
    <m/>
  </r>
  <r>
    <x v="22"/>
    <x v="7"/>
    <m/>
    <m/>
    <m/>
    <m/>
    <m/>
    <m/>
    <m/>
    <m/>
    <m/>
    <m/>
    <m/>
    <m/>
    <n v="255.71714070993119"/>
    <m/>
    <m/>
    <m/>
    <m/>
    <m/>
    <m/>
    <m/>
    <m/>
    <m/>
    <m/>
  </r>
  <r>
    <x v="23"/>
    <x v="0"/>
    <m/>
    <m/>
    <m/>
    <m/>
    <m/>
    <m/>
    <m/>
    <m/>
    <m/>
    <m/>
    <m/>
    <m/>
    <n v="146.18572080780058"/>
    <m/>
    <m/>
    <m/>
    <m/>
    <m/>
    <m/>
    <m/>
    <m/>
    <m/>
    <m/>
  </r>
  <r>
    <x v="23"/>
    <x v="1"/>
    <m/>
    <m/>
    <m/>
    <m/>
    <m/>
    <m/>
    <m/>
    <m/>
    <m/>
    <m/>
    <m/>
    <m/>
    <n v="149.25484313011475"/>
    <m/>
    <m/>
    <m/>
    <m/>
    <m/>
    <m/>
    <m/>
    <m/>
    <m/>
    <m/>
  </r>
  <r>
    <x v="23"/>
    <x v="4"/>
    <m/>
    <m/>
    <m/>
    <m/>
    <m/>
    <m/>
    <m/>
    <m/>
    <m/>
    <m/>
    <m/>
    <m/>
    <n v="-68.014963272465081"/>
    <m/>
    <m/>
    <m/>
    <m/>
    <m/>
    <m/>
    <m/>
    <m/>
    <m/>
    <m/>
  </r>
  <r>
    <x v="23"/>
    <x v="5"/>
    <m/>
    <m/>
    <m/>
    <m/>
    <m/>
    <m/>
    <m/>
    <m/>
    <m/>
    <m/>
    <m/>
    <m/>
    <n v="-68.014963272465081"/>
    <m/>
    <m/>
    <m/>
    <m/>
    <m/>
    <m/>
    <m/>
    <m/>
    <m/>
    <m/>
  </r>
  <r>
    <x v="23"/>
    <x v="6"/>
    <m/>
    <m/>
    <m/>
    <m/>
    <m/>
    <m/>
    <m/>
    <m/>
    <m/>
    <m/>
    <m/>
    <m/>
    <n v="-68.014963272465081"/>
    <m/>
    <m/>
    <m/>
    <m/>
    <m/>
    <m/>
    <m/>
    <m/>
    <m/>
    <m/>
  </r>
  <r>
    <x v="23"/>
    <x v="7"/>
    <m/>
    <m/>
    <m/>
    <m/>
    <m/>
    <m/>
    <m/>
    <m/>
    <m/>
    <m/>
    <m/>
    <m/>
    <n v="91.395674120520084"/>
    <m/>
    <m/>
    <m/>
    <m/>
    <m/>
    <m/>
    <m/>
    <m/>
    <m/>
    <m/>
  </r>
  <r>
    <x v="24"/>
    <x v="0"/>
    <m/>
    <m/>
    <m/>
    <m/>
    <m/>
    <m/>
    <m/>
    <m/>
    <m/>
    <m/>
    <m/>
    <m/>
    <n v="89.083423224125482"/>
    <m/>
    <m/>
    <m/>
    <m/>
    <m/>
    <m/>
    <m/>
    <m/>
    <m/>
    <m/>
  </r>
  <r>
    <x v="24"/>
    <x v="1"/>
    <m/>
    <m/>
    <m/>
    <m/>
    <m/>
    <m/>
    <m/>
    <m/>
    <m/>
    <m/>
    <m/>
    <m/>
    <n v="54.674166048888289"/>
    <m/>
    <m/>
    <m/>
    <m/>
    <m/>
    <m/>
    <m/>
    <m/>
    <m/>
    <m/>
  </r>
  <r>
    <x v="24"/>
    <x v="4"/>
    <m/>
    <m/>
    <m/>
    <m/>
    <m/>
    <m/>
    <m/>
    <m/>
    <m/>
    <m/>
    <m/>
    <m/>
    <n v="-36.941286037340539"/>
    <m/>
    <m/>
    <m/>
    <m/>
    <m/>
    <m/>
    <m/>
    <m/>
    <m/>
    <m/>
  </r>
  <r>
    <x v="24"/>
    <x v="5"/>
    <m/>
    <m/>
    <m/>
    <m/>
    <m/>
    <m/>
    <m/>
    <m/>
    <m/>
    <m/>
    <m/>
    <m/>
    <n v="-36.941286037340539"/>
    <m/>
    <m/>
    <m/>
    <m/>
    <m/>
    <m/>
    <m/>
    <m/>
    <m/>
    <m/>
  </r>
  <r>
    <x v="24"/>
    <x v="6"/>
    <m/>
    <m/>
    <m/>
    <m/>
    <m/>
    <m/>
    <m/>
    <m/>
    <m/>
    <m/>
    <m/>
    <m/>
    <n v="-36.941286037340539"/>
    <m/>
    <m/>
    <m/>
    <m/>
    <m/>
    <m/>
    <m/>
    <m/>
    <m/>
    <m/>
  </r>
  <r>
    <x v="24"/>
    <x v="7"/>
    <m/>
    <m/>
    <m/>
    <m/>
    <m/>
    <m/>
    <m/>
    <m/>
    <m/>
    <m/>
    <m/>
    <m/>
    <n v="32.933731160992131"/>
    <m/>
    <m/>
    <m/>
    <m/>
    <m/>
    <m/>
    <m/>
    <m/>
    <m/>
    <m/>
  </r>
  <r>
    <x v="25"/>
    <x v="0"/>
    <m/>
    <m/>
    <m/>
    <m/>
    <m/>
    <m/>
    <m/>
    <m/>
    <m/>
    <m/>
    <m/>
    <m/>
    <n v="1334.9500624190471"/>
    <m/>
    <m/>
    <m/>
    <m/>
    <m/>
    <m/>
    <m/>
    <m/>
    <m/>
    <m/>
  </r>
  <r>
    <x v="25"/>
    <x v="1"/>
    <m/>
    <m/>
    <m/>
    <m/>
    <m/>
    <m/>
    <m/>
    <m/>
    <m/>
    <m/>
    <m/>
    <m/>
    <n v="913.010926531314"/>
    <m/>
    <m/>
    <m/>
    <m/>
    <m/>
    <m/>
    <m/>
    <m/>
    <m/>
    <m/>
  </r>
  <r>
    <x v="25"/>
    <x v="4"/>
    <m/>
    <m/>
    <m/>
    <m/>
    <m/>
    <m/>
    <m/>
    <m/>
    <m/>
    <m/>
    <m/>
    <m/>
    <n v="-565.21713758073327"/>
    <m/>
    <m/>
    <m/>
    <m/>
    <m/>
    <m/>
    <m/>
    <m/>
    <m/>
    <m/>
  </r>
  <r>
    <x v="25"/>
    <x v="5"/>
    <m/>
    <m/>
    <m/>
    <m/>
    <m/>
    <m/>
    <m/>
    <m/>
    <m/>
    <m/>
    <m/>
    <m/>
    <n v="-565.21713758073327"/>
    <m/>
    <m/>
    <m/>
    <m/>
    <m/>
    <m/>
    <m/>
    <m/>
    <m/>
    <m/>
  </r>
  <r>
    <x v="25"/>
    <x v="6"/>
    <m/>
    <m/>
    <m/>
    <m/>
    <m/>
    <m/>
    <m/>
    <m/>
    <m/>
    <m/>
    <m/>
    <m/>
    <n v="-565.21713758073327"/>
    <m/>
    <m/>
    <m/>
    <m/>
    <m/>
    <m/>
    <m/>
    <m/>
    <m/>
    <m/>
  </r>
  <r>
    <x v="25"/>
    <x v="7"/>
    <m/>
    <m/>
    <m/>
    <m/>
    <m/>
    <m/>
    <m/>
    <m/>
    <m/>
    <m/>
    <m/>
    <m/>
    <n v="552.30957620816082"/>
    <m/>
    <m/>
    <m/>
    <m/>
    <m/>
    <m/>
    <m/>
    <m/>
    <m/>
    <m/>
  </r>
  <r>
    <x v="26"/>
    <x v="0"/>
    <m/>
    <m/>
    <m/>
    <m/>
    <m/>
    <m/>
    <m/>
    <m/>
    <m/>
    <m/>
    <m/>
    <m/>
    <n v="234.04143187214626"/>
    <m/>
    <m/>
    <m/>
    <m/>
    <m/>
    <m/>
    <m/>
    <m/>
    <m/>
    <m/>
  </r>
  <r>
    <x v="26"/>
    <x v="1"/>
    <m/>
    <m/>
    <m/>
    <m/>
    <m/>
    <m/>
    <m/>
    <m/>
    <m/>
    <m/>
    <m/>
    <m/>
    <n v="109.70933088566841"/>
    <m/>
    <m/>
    <m/>
    <m/>
    <m/>
    <m/>
    <m/>
    <m/>
    <m/>
    <m/>
  </r>
  <r>
    <x v="26"/>
    <x v="4"/>
    <m/>
    <m/>
    <m/>
    <m/>
    <m/>
    <m/>
    <m/>
    <m/>
    <m/>
    <m/>
    <m/>
    <m/>
    <n v="-92.838351930579677"/>
    <m/>
    <m/>
    <m/>
    <m/>
    <m/>
    <m/>
    <m/>
    <m/>
    <m/>
    <m/>
  </r>
  <r>
    <x v="26"/>
    <x v="5"/>
    <m/>
    <m/>
    <m/>
    <m/>
    <m/>
    <m/>
    <m/>
    <m/>
    <m/>
    <m/>
    <m/>
    <m/>
    <n v="-92.838351930579677"/>
    <m/>
    <m/>
    <m/>
    <m/>
    <m/>
    <m/>
    <m/>
    <m/>
    <m/>
    <m/>
  </r>
  <r>
    <x v="26"/>
    <x v="6"/>
    <m/>
    <m/>
    <m/>
    <m/>
    <m/>
    <m/>
    <m/>
    <m/>
    <m/>
    <m/>
    <m/>
    <m/>
    <n v="-92.838351930579677"/>
    <m/>
    <m/>
    <m/>
    <m/>
    <m/>
    <m/>
    <m/>
    <m/>
    <m/>
    <m/>
  </r>
  <r>
    <x v="26"/>
    <x v="7"/>
    <m/>
    <m/>
    <m/>
    <m/>
    <m/>
    <m/>
    <m/>
    <m/>
    <m/>
    <m/>
    <m/>
    <m/>
    <n v="65.235706966075611"/>
    <m/>
    <m/>
    <m/>
    <m/>
    <m/>
    <m/>
    <m/>
    <m/>
    <m/>
    <m/>
  </r>
  <r>
    <x v="27"/>
    <x v="0"/>
    <m/>
    <m/>
    <m/>
    <m/>
    <m/>
    <m/>
    <m/>
    <m/>
    <m/>
    <m/>
    <m/>
    <m/>
    <n v="16491.767827881158"/>
    <m/>
    <m/>
    <m/>
    <m/>
    <m/>
    <m/>
    <m/>
    <m/>
    <m/>
    <m/>
  </r>
  <r>
    <x v="27"/>
    <x v="1"/>
    <m/>
    <m/>
    <m/>
    <m/>
    <m/>
    <m/>
    <m/>
    <m/>
    <m/>
    <m/>
    <m/>
    <m/>
    <n v="9958.0579452688198"/>
    <m/>
    <m/>
    <m/>
    <m/>
    <m/>
    <m/>
    <m/>
    <m/>
    <m/>
    <m/>
  </r>
  <r>
    <x v="27"/>
    <x v="4"/>
    <m/>
    <m/>
    <m/>
    <m/>
    <m/>
    <m/>
    <m/>
    <m/>
    <m/>
    <m/>
    <m/>
    <m/>
    <n v="-6831.2775841179428"/>
    <m/>
    <m/>
    <m/>
    <m/>
    <m/>
    <m/>
    <m/>
    <m/>
    <m/>
    <m/>
  </r>
  <r>
    <x v="27"/>
    <x v="5"/>
    <m/>
    <m/>
    <m/>
    <m/>
    <m/>
    <m/>
    <m/>
    <m/>
    <m/>
    <m/>
    <m/>
    <m/>
    <n v="-6831.2775841179428"/>
    <m/>
    <m/>
    <m/>
    <m/>
    <m/>
    <m/>
    <m/>
    <m/>
    <m/>
    <m/>
  </r>
  <r>
    <x v="27"/>
    <x v="6"/>
    <m/>
    <m/>
    <m/>
    <m/>
    <m/>
    <m/>
    <m/>
    <m/>
    <m/>
    <m/>
    <m/>
    <m/>
    <n v="-6831.2775841179428"/>
    <m/>
    <m/>
    <m/>
    <m/>
    <m/>
    <m/>
    <m/>
    <m/>
    <m/>
    <m/>
  </r>
  <r>
    <x v="27"/>
    <x v="7"/>
    <m/>
    <m/>
    <m/>
    <m/>
    <m/>
    <m/>
    <m/>
    <m/>
    <m/>
    <m/>
    <m/>
    <m/>
    <n v="5955.9930207961479"/>
    <m/>
    <m/>
    <m/>
    <m/>
    <m/>
    <m/>
    <m/>
    <m/>
    <m/>
    <m/>
  </r>
  <r>
    <x v="0"/>
    <x v="0"/>
    <m/>
    <m/>
    <m/>
    <m/>
    <m/>
    <m/>
    <m/>
    <m/>
    <m/>
    <m/>
    <m/>
    <m/>
    <m/>
    <n v="50.738755120521304"/>
    <m/>
    <m/>
    <m/>
    <m/>
    <m/>
    <m/>
    <m/>
    <m/>
    <m/>
  </r>
  <r>
    <x v="0"/>
    <x v="1"/>
    <m/>
    <m/>
    <m/>
    <m/>
    <m/>
    <m/>
    <m/>
    <m/>
    <m/>
    <m/>
    <m/>
    <m/>
    <m/>
    <n v="22.253042249658538"/>
    <m/>
    <m/>
    <m/>
    <m/>
    <m/>
    <m/>
    <m/>
    <m/>
    <m/>
  </r>
  <r>
    <x v="0"/>
    <x v="2"/>
    <m/>
    <m/>
    <m/>
    <m/>
    <m/>
    <m/>
    <m/>
    <m/>
    <m/>
    <m/>
    <m/>
    <m/>
    <m/>
    <n v="0"/>
    <m/>
    <m/>
    <m/>
    <m/>
    <m/>
    <m/>
    <m/>
    <m/>
    <m/>
  </r>
  <r>
    <x v="0"/>
    <x v="3"/>
    <m/>
    <m/>
    <m/>
    <m/>
    <m/>
    <m/>
    <m/>
    <m/>
    <m/>
    <m/>
    <m/>
    <m/>
    <m/>
    <n v="0"/>
    <m/>
    <m/>
    <m/>
    <m/>
    <m/>
    <m/>
    <m/>
    <m/>
    <m/>
  </r>
  <r>
    <x v="0"/>
    <x v="4"/>
    <m/>
    <m/>
    <m/>
    <m/>
    <m/>
    <m/>
    <m/>
    <m/>
    <m/>
    <m/>
    <m/>
    <m/>
    <m/>
    <n v="-19.936599872498086"/>
    <m/>
    <m/>
    <m/>
    <m/>
    <m/>
    <m/>
    <m/>
    <m/>
    <m/>
  </r>
  <r>
    <x v="0"/>
    <x v="5"/>
    <m/>
    <m/>
    <m/>
    <m/>
    <m/>
    <m/>
    <m/>
    <m/>
    <m/>
    <m/>
    <m/>
    <m/>
    <m/>
    <n v="-19.936599872498086"/>
    <m/>
    <m/>
    <m/>
    <m/>
    <m/>
    <m/>
    <m/>
    <m/>
    <m/>
  </r>
  <r>
    <x v="0"/>
    <x v="6"/>
    <m/>
    <m/>
    <m/>
    <m/>
    <m/>
    <m/>
    <m/>
    <m/>
    <m/>
    <m/>
    <m/>
    <m/>
    <m/>
    <n v="-19.936599872498086"/>
    <m/>
    <m/>
    <m/>
    <m/>
    <m/>
    <m/>
    <m/>
    <m/>
    <m/>
  </r>
  <r>
    <x v="0"/>
    <x v="7"/>
    <m/>
    <m/>
    <m/>
    <m/>
    <m/>
    <m/>
    <m/>
    <m/>
    <m/>
    <m/>
    <m/>
    <m/>
    <m/>
    <n v="13.181997752685582"/>
    <m/>
    <m/>
    <m/>
    <m/>
    <m/>
    <m/>
    <m/>
    <m/>
    <m/>
  </r>
  <r>
    <x v="1"/>
    <x v="0"/>
    <m/>
    <m/>
    <m/>
    <m/>
    <m/>
    <m/>
    <m/>
    <m/>
    <m/>
    <m/>
    <m/>
    <m/>
    <m/>
    <n v="55.063833571696065"/>
    <m/>
    <m/>
    <m/>
    <m/>
    <m/>
    <m/>
    <m/>
    <m/>
    <m/>
  </r>
  <r>
    <x v="1"/>
    <x v="1"/>
    <m/>
    <m/>
    <m/>
    <m/>
    <m/>
    <m/>
    <m/>
    <m/>
    <m/>
    <m/>
    <m/>
    <m/>
    <m/>
    <n v="28.687637491479492"/>
    <m/>
    <m/>
    <m/>
    <m/>
    <m/>
    <m/>
    <m/>
    <m/>
    <m/>
  </r>
  <r>
    <x v="1"/>
    <x v="2"/>
    <m/>
    <m/>
    <m/>
    <m/>
    <m/>
    <m/>
    <m/>
    <m/>
    <m/>
    <m/>
    <m/>
    <m/>
    <m/>
    <n v="0"/>
    <m/>
    <m/>
    <m/>
    <m/>
    <m/>
    <m/>
    <m/>
    <m/>
    <m/>
  </r>
  <r>
    <x v="1"/>
    <x v="3"/>
    <m/>
    <m/>
    <m/>
    <m/>
    <m/>
    <m/>
    <m/>
    <m/>
    <m/>
    <m/>
    <m/>
    <m/>
    <m/>
    <n v="0"/>
    <m/>
    <m/>
    <m/>
    <m/>
    <m/>
    <m/>
    <m/>
    <m/>
    <m/>
  </r>
  <r>
    <x v="1"/>
    <x v="4"/>
    <m/>
    <m/>
    <m/>
    <m/>
    <m/>
    <m/>
    <m/>
    <m/>
    <m/>
    <m/>
    <m/>
    <m/>
    <m/>
    <n v="-22.199633858122198"/>
    <m/>
    <m/>
    <m/>
    <m/>
    <m/>
    <m/>
    <m/>
    <m/>
    <m/>
  </r>
  <r>
    <x v="1"/>
    <x v="5"/>
    <m/>
    <m/>
    <m/>
    <m/>
    <m/>
    <m/>
    <m/>
    <m/>
    <m/>
    <m/>
    <m/>
    <m/>
    <m/>
    <n v="-22.199633858122198"/>
    <m/>
    <m/>
    <m/>
    <m/>
    <m/>
    <m/>
    <m/>
    <m/>
    <m/>
  </r>
  <r>
    <x v="1"/>
    <x v="6"/>
    <m/>
    <m/>
    <m/>
    <m/>
    <m/>
    <m/>
    <m/>
    <m/>
    <m/>
    <m/>
    <m/>
    <m/>
    <m/>
    <n v="-22.199633858122198"/>
    <m/>
    <m/>
    <m/>
    <m/>
    <m/>
    <m/>
    <m/>
    <m/>
    <m/>
  </r>
  <r>
    <x v="1"/>
    <x v="7"/>
    <m/>
    <m/>
    <m/>
    <m/>
    <m/>
    <m/>
    <m/>
    <m/>
    <m/>
    <m/>
    <m/>
    <m/>
    <m/>
    <n v="17.152569488808965"/>
    <m/>
    <m/>
    <m/>
    <m/>
    <m/>
    <m/>
    <m/>
    <m/>
    <m/>
  </r>
  <r>
    <x v="2"/>
    <x v="0"/>
    <m/>
    <m/>
    <m/>
    <m/>
    <m/>
    <m/>
    <m/>
    <m/>
    <m/>
    <m/>
    <m/>
    <m/>
    <m/>
    <n v="17.139948105803558"/>
    <m/>
    <m/>
    <m/>
    <m/>
    <m/>
    <m/>
    <m/>
    <m/>
    <m/>
  </r>
  <r>
    <x v="2"/>
    <x v="1"/>
    <m/>
    <m/>
    <m/>
    <m/>
    <m/>
    <m/>
    <m/>
    <m/>
    <m/>
    <m/>
    <m/>
    <m/>
    <m/>
    <n v="25.104778723853727"/>
    <m/>
    <m/>
    <m/>
    <m/>
    <m/>
    <m/>
    <m/>
    <m/>
    <m/>
  </r>
  <r>
    <x v="2"/>
    <x v="2"/>
    <m/>
    <m/>
    <m/>
    <m/>
    <m/>
    <m/>
    <m/>
    <m/>
    <m/>
    <m/>
    <m/>
    <m/>
    <m/>
    <n v="0"/>
    <m/>
    <m/>
    <m/>
    <m/>
    <m/>
    <m/>
    <m/>
    <m/>
    <m/>
  </r>
  <r>
    <x v="2"/>
    <x v="3"/>
    <m/>
    <m/>
    <m/>
    <m/>
    <m/>
    <m/>
    <m/>
    <m/>
    <m/>
    <m/>
    <m/>
    <m/>
    <m/>
    <n v="0"/>
    <m/>
    <m/>
    <m/>
    <m/>
    <m/>
    <m/>
    <m/>
    <m/>
    <m/>
  </r>
  <r>
    <x v="2"/>
    <x v="4"/>
    <m/>
    <m/>
    <m/>
    <m/>
    <m/>
    <m/>
    <m/>
    <m/>
    <m/>
    <m/>
    <m/>
    <m/>
    <m/>
    <n v="-9.6186891662274814"/>
    <m/>
    <m/>
    <m/>
    <m/>
    <m/>
    <m/>
    <m/>
    <m/>
    <m/>
  </r>
  <r>
    <x v="2"/>
    <x v="5"/>
    <m/>
    <m/>
    <m/>
    <m/>
    <m/>
    <m/>
    <m/>
    <m/>
    <m/>
    <m/>
    <m/>
    <m/>
    <m/>
    <n v="-9.6186891662274814"/>
    <m/>
    <m/>
    <m/>
    <m/>
    <m/>
    <m/>
    <m/>
    <m/>
    <m/>
  </r>
  <r>
    <x v="2"/>
    <x v="6"/>
    <m/>
    <m/>
    <m/>
    <m/>
    <m/>
    <m/>
    <m/>
    <m/>
    <m/>
    <m/>
    <m/>
    <m/>
    <m/>
    <n v="-9.6186891662274814"/>
    <m/>
    <m/>
    <m/>
    <m/>
    <m/>
    <m/>
    <m/>
    <m/>
    <m/>
  </r>
  <r>
    <x v="2"/>
    <x v="7"/>
    <m/>
    <m/>
    <m/>
    <m/>
    <m/>
    <m/>
    <m/>
    <m/>
    <m/>
    <m/>
    <m/>
    <m/>
    <m/>
    <n v="13.388659330974834"/>
    <m/>
    <m/>
    <m/>
    <m/>
    <m/>
    <m/>
    <m/>
    <m/>
    <m/>
  </r>
  <r>
    <x v="3"/>
    <x v="0"/>
    <m/>
    <m/>
    <m/>
    <m/>
    <m/>
    <m/>
    <m/>
    <m/>
    <m/>
    <m/>
    <m/>
    <m/>
    <m/>
    <n v="24.634183495056586"/>
    <m/>
    <m/>
    <m/>
    <m/>
    <m/>
    <m/>
    <m/>
    <m/>
    <m/>
  </r>
  <r>
    <x v="3"/>
    <x v="1"/>
    <m/>
    <m/>
    <m/>
    <m/>
    <m/>
    <m/>
    <m/>
    <m/>
    <m/>
    <m/>
    <m/>
    <m/>
    <m/>
    <n v="29.524590610783946"/>
    <m/>
    <m/>
    <m/>
    <m/>
    <m/>
    <m/>
    <m/>
    <m/>
    <m/>
  </r>
  <r>
    <x v="3"/>
    <x v="2"/>
    <m/>
    <m/>
    <m/>
    <m/>
    <m/>
    <m/>
    <m/>
    <m/>
    <m/>
    <m/>
    <m/>
    <m/>
    <m/>
    <n v="0"/>
    <m/>
    <m/>
    <m/>
    <m/>
    <m/>
    <m/>
    <m/>
    <m/>
    <m/>
  </r>
  <r>
    <x v="3"/>
    <x v="3"/>
    <m/>
    <m/>
    <m/>
    <m/>
    <m/>
    <m/>
    <m/>
    <m/>
    <m/>
    <m/>
    <m/>
    <m/>
    <m/>
    <n v="0"/>
    <m/>
    <m/>
    <m/>
    <m/>
    <m/>
    <m/>
    <m/>
    <m/>
    <m/>
  </r>
  <r>
    <x v="3"/>
    <x v="4"/>
    <m/>
    <m/>
    <m/>
    <m/>
    <m/>
    <m/>
    <m/>
    <m/>
    <m/>
    <m/>
    <m/>
    <m/>
    <m/>
    <n v="-12.004567871705568"/>
    <m/>
    <m/>
    <m/>
    <m/>
    <m/>
    <m/>
    <m/>
    <m/>
    <m/>
  </r>
  <r>
    <x v="3"/>
    <x v="5"/>
    <m/>
    <m/>
    <m/>
    <m/>
    <m/>
    <m/>
    <m/>
    <m/>
    <m/>
    <m/>
    <m/>
    <m/>
    <m/>
    <n v="-12.004567871705568"/>
    <m/>
    <m/>
    <m/>
    <m/>
    <m/>
    <m/>
    <m/>
    <m/>
    <m/>
  </r>
  <r>
    <x v="3"/>
    <x v="6"/>
    <m/>
    <m/>
    <m/>
    <m/>
    <m/>
    <m/>
    <m/>
    <m/>
    <m/>
    <m/>
    <m/>
    <m/>
    <m/>
    <n v="-12.004567871705568"/>
    <m/>
    <m/>
    <m/>
    <m/>
    <m/>
    <m/>
    <m/>
    <m/>
    <m/>
  </r>
  <r>
    <x v="3"/>
    <x v="7"/>
    <m/>
    <m/>
    <m/>
    <m/>
    <m/>
    <m/>
    <m/>
    <m/>
    <m/>
    <m/>
    <m/>
    <m/>
    <m/>
    <n v="18.145070490723832"/>
    <m/>
    <m/>
    <m/>
    <m/>
    <m/>
    <m/>
    <m/>
    <m/>
    <m/>
  </r>
  <r>
    <x v="4"/>
    <x v="0"/>
    <m/>
    <m/>
    <m/>
    <m/>
    <m/>
    <m/>
    <m/>
    <m/>
    <m/>
    <m/>
    <m/>
    <m/>
    <m/>
    <n v="32.669565596155799"/>
    <m/>
    <m/>
    <m/>
    <m/>
    <m/>
    <m/>
    <m/>
    <m/>
    <m/>
  </r>
  <r>
    <x v="4"/>
    <x v="1"/>
    <m/>
    <m/>
    <m/>
    <m/>
    <m/>
    <m/>
    <m/>
    <m/>
    <m/>
    <m/>
    <m/>
    <m/>
    <m/>
    <n v="20.270206437390527"/>
    <m/>
    <m/>
    <m/>
    <m/>
    <m/>
    <m/>
    <m/>
    <m/>
    <m/>
  </r>
  <r>
    <x v="4"/>
    <x v="2"/>
    <m/>
    <m/>
    <m/>
    <m/>
    <m/>
    <m/>
    <m/>
    <m/>
    <m/>
    <m/>
    <m/>
    <m/>
    <m/>
    <n v="0"/>
    <m/>
    <m/>
    <m/>
    <m/>
    <m/>
    <m/>
    <m/>
    <m/>
    <m/>
  </r>
  <r>
    <x v="4"/>
    <x v="3"/>
    <m/>
    <m/>
    <m/>
    <m/>
    <m/>
    <m/>
    <m/>
    <m/>
    <m/>
    <m/>
    <m/>
    <m/>
    <m/>
    <n v="0"/>
    <m/>
    <m/>
    <m/>
    <m/>
    <m/>
    <m/>
    <m/>
    <m/>
    <m/>
  </r>
  <r>
    <x v="4"/>
    <x v="4"/>
    <m/>
    <m/>
    <m/>
    <m/>
    <m/>
    <m/>
    <m/>
    <m/>
    <m/>
    <m/>
    <m/>
    <m/>
    <m/>
    <n v="-13.57474716314587"/>
    <m/>
    <m/>
    <m/>
    <m/>
    <m/>
    <m/>
    <m/>
    <m/>
    <m/>
  </r>
  <r>
    <x v="4"/>
    <x v="5"/>
    <m/>
    <m/>
    <m/>
    <m/>
    <m/>
    <m/>
    <m/>
    <m/>
    <m/>
    <m/>
    <m/>
    <m/>
    <m/>
    <n v="-13.57474716314587"/>
    <m/>
    <m/>
    <m/>
    <m/>
    <m/>
    <m/>
    <m/>
    <m/>
    <m/>
  </r>
  <r>
    <x v="4"/>
    <x v="6"/>
    <m/>
    <m/>
    <m/>
    <m/>
    <m/>
    <m/>
    <m/>
    <m/>
    <m/>
    <m/>
    <m/>
    <m/>
    <m/>
    <n v="-13.57474716314587"/>
    <m/>
    <m/>
    <m/>
    <m/>
    <m/>
    <m/>
    <m/>
    <m/>
    <m/>
  </r>
  <r>
    <x v="4"/>
    <x v="7"/>
    <m/>
    <m/>
    <m/>
    <m/>
    <m/>
    <m/>
    <m/>
    <m/>
    <m/>
    <m/>
    <m/>
    <m/>
    <m/>
    <n v="12.215530544108711"/>
    <m/>
    <m/>
    <m/>
    <m/>
    <m/>
    <m/>
    <m/>
    <m/>
    <m/>
  </r>
  <r>
    <x v="5"/>
    <x v="0"/>
    <m/>
    <m/>
    <m/>
    <m/>
    <m/>
    <m/>
    <m/>
    <m/>
    <m/>
    <m/>
    <m/>
    <m/>
    <m/>
    <n v="38.522228618908471"/>
    <m/>
    <m/>
    <m/>
    <m/>
    <m/>
    <m/>
    <m/>
    <m/>
    <m/>
  </r>
  <r>
    <x v="5"/>
    <x v="1"/>
    <m/>
    <m/>
    <m/>
    <m/>
    <m/>
    <m/>
    <m/>
    <m/>
    <m/>
    <m/>
    <m/>
    <m/>
    <m/>
    <n v="22.915796651046151"/>
    <m/>
    <m/>
    <m/>
    <m/>
    <m/>
    <m/>
    <m/>
    <m/>
    <m/>
  </r>
  <r>
    <x v="5"/>
    <x v="2"/>
    <m/>
    <m/>
    <m/>
    <m/>
    <m/>
    <m/>
    <m/>
    <m/>
    <m/>
    <m/>
    <m/>
    <m/>
    <m/>
    <n v="0"/>
    <m/>
    <m/>
    <m/>
    <m/>
    <m/>
    <m/>
    <m/>
    <m/>
    <m/>
  </r>
  <r>
    <x v="5"/>
    <x v="3"/>
    <m/>
    <m/>
    <m/>
    <m/>
    <m/>
    <m/>
    <m/>
    <m/>
    <m/>
    <m/>
    <m/>
    <m/>
    <m/>
    <n v="0"/>
    <m/>
    <m/>
    <m/>
    <m/>
    <m/>
    <m/>
    <m/>
    <m/>
    <m/>
  </r>
  <r>
    <x v="5"/>
    <x v="4"/>
    <m/>
    <m/>
    <m/>
    <m/>
    <m/>
    <m/>
    <m/>
    <m/>
    <m/>
    <m/>
    <m/>
    <m/>
    <m/>
    <n v="-15.884191234686588"/>
    <m/>
    <m/>
    <m/>
    <m/>
    <m/>
    <m/>
    <m/>
    <m/>
    <m/>
  </r>
  <r>
    <x v="5"/>
    <x v="5"/>
    <m/>
    <m/>
    <m/>
    <m/>
    <m/>
    <m/>
    <m/>
    <m/>
    <m/>
    <m/>
    <m/>
    <m/>
    <m/>
    <n v="-15.884191234686588"/>
    <m/>
    <m/>
    <m/>
    <m/>
    <m/>
    <m/>
    <m/>
    <m/>
    <m/>
  </r>
  <r>
    <x v="5"/>
    <x v="6"/>
    <m/>
    <m/>
    <m/>
    <m/>
    <m/>
    <m/>
    <m/>
    <m/>
    <m/>
    <m/>
    <m/>
    <m/>
    <m/>
    <n v="-15.884191234686588"/>
    <m/>
    <m/>
    <m/>
    <m/>
    <m/>
    <m/>
    <m/>
    <m/>
    <m/>
  </r>
  <r>
    <x v="5"/>
    <x v="7"/>
    <m/>
    <m/>
    <m/>
    <m/>
    <m/>
    <m/>
    <m/>
    <m/>
    <m/>
    <m/>
    <m/>
    <m/>
    <m/>
    <n v="13.785451565894855"/>
    <m/>
    <m/>
    <m/>
    <m/>
    <m/>
    <m/>
    <m/>
    <m/>
    <m/>
  </r>
  <r>
    <x v="6"/>
    <x v="0"/>
    <m/>
    <m/>
    <m/>
    <m/>
    <m/>
    <m/>
    <m/>
    <m/>
    <m/>
    <m/>
    <m/>
    <m/>
    <m/>
    <n v="34.565623671418905"/>
    <m/>
    <m/>
    <m/>
    <m/>
    <m/>
    <m/>
    <m/>
    <m/>
    <m/>
  </r>
  <r>
    <x v="6"/>
    <x v="1"/>
    <m/>
    <m/>
    <m/>
    <m/>
    <m/>
    <m/>
    <m/>
    <m/>
    <m/>
    <m/>
    <m/>
    <m/>
    <m/>
    <n v="15.886722805115189"/>
    <m/>
    <m/>
    <m/>
    <m/>
    <m/>
    <m/>
    <m/>
    <m/>
    <m/>
  </r>
  <r>
    <x v="6"/>
    <x v="2"/>
    <m/>
    <m/>
    <m/>
    <m/>
    <m/>
    <m/>
    <m/>
    <m/>
    <m/>
    <m/>
    <m/>
    <m/>
    <m/>
    <n v="0"/>
    <m/>
    <m/>
    <m/>
    <m/>
    <m/>
    <m/>
    <m/>
    <m/>
    <m/>
  </r>
  <r>
    <x v="6"/>
    <x v="3"/>
    <m/>
    <m/>
    <m/>
    <m/>
    <m/>
    <m/>
    <m/>
    <m/>
    <m/>
    <m/>
    <m/>
    <m/>
    <m/>
    <n v="0"/>
    <m/>
    <m/>
    <m/>
    <m/>
    <m/>
    <m/>
    <m/>
    <m/>
    <m/>
  </r>
  <r>
    <x v="6"/>
    <x v="4"/>
    <m/>
    <m/>
    <m/>
    <m/>
    <m/>
    <m/>
    <m/>
    <m/>
    <m/>
    <m/>
    <m/>
    <m/>
    <m/>
    <n v="-13.67203228211952"/>
    <m/>
    <m/>
    <m/>
    <m/>
    <m/>
    <m/>
    <m/>
    <m/>
    <m/>
  </r>
  <r>
    <x v="6"/>
    <x v="5"/>
    <m/>
    <m/>
    <m/>
    <m/>
    <m/>
    <m/>
    <m/>
    <m/>
    <m/>
    <m/>
    <m/>
    <m/>
    <m/>
    <n v="-13.67203228211952"/>
    <m/>
    <m/>
    <m/>
    <m/>
    <m/>
    <m/>
    <m/>
    <m/>
    <m/>
  </r>
  <r>
    <x v="6"/>
    <x v="6"/>
    <m/>
    <m/>
    <m/>
    <m/>
    <m/>
    <m/>
    <m/>
    <m/>
    <m/>
    <m/>
    <m/>
    <m/>
    <m/>
    <n v="-13.67203228211952"/>
    <m/>
    <m/>
    <m/>
    <m/>
    <m/>
    <m/>
    <m/>
    <m/>
    <m/>
  </r>
  <r>
    <x v="6"/>
    <x v="7"/>
    <m/>
    <m/>
    <m/>
    <m/>
    <m/>
    <m/>
    <m/>
    <m/>
    <m/>
    <m/>
    <m/>
    <m/>
    <m/>
    <n v="9.4362496301755314"/>
    <m/>
    <m/>
    <m/>
    <m/>
    <m/>
    <m/>
    <m/>
    <m/>
    <m/>
  </r>
  <r>
    <x v="7"/>
    <x v="0"/>
    <m/>
    <m/>
    <m/>
    <m/>
    <m/>
    <m/>
    <m/>
    <m/>
    <m/>
    <m/>
    <m/>
    <m/>
    <m/>
    <n v="30.557875943676905"/>
    <m/>
    <m/>
    <m/>
    <m/>
    <m/>
    <m/>
    <m/>
    <m/>
    <m/>
  </r>
  <r>
    <x v="7"/>
    <x v="1"/>
    <m/>
    <m/>
    <m/>
    <m/>
    <m/>
    <m/>
    <m/>
    <m/>
    <m/>
    <m/>
    <m/>
    <m/>
    <m/>
    <n v="19.669584250532729"/>
    <m/>
    <m/>
    <m/>
    <m/>
    <m/>
    <m/>
    <m/>
    <m/>
    <m/>
  </r>
  <r>
    <x v="7"/>
    <x v="2"/>
    <m/>
    <m/>
    <m/>
    <m/>
    <m/>
    <m/>
    <m/>
    <m/>
    <m/>
    <m/>
    <m/>
    <m/>
    <m/>
    <n v="0"/>
    <m/>
    <m/>
    <m/>
    <m/>
    <m/>
    <m/>
    <m/>
    <m/>
    <m/>
  </r>
  <r>
    <x v="7"/>
    <x v="3"/>
    <m/>
    <m/>
    <m/>
    <m/>
    <m/>
    <m/>
    <m/>
    <m/>
    <m/>
    <m/>
    <m/>
    <m/>
    <m/>
    <n v="0"/>
    <m/>
    <m/>
    <m/>
    <m/>
    <m/>
    <m/>
    <m/>
    <m/>
    <m/>
  </r>
  <r>
    <x v="7"/>
    <x v="4"/>
    <m/>
    <m/>
    <m/>
    <m/>
    <m/>
    <m/>
    <m/>
    <m/>
    <m/>
    <m/>
    <m/>
    <m/>
    <m/>
    <n v="-12.785439523294299"/>
    <m/>
    <m/>
    <m/>
    <m/>
    <m/>
    <m/>
    <m/>
    <m/>
    <m/>
  </r>
  <r>
    <x v="7"/>
    <x v="5"/>
    <m/>
    <m/>
    <m/>
    <m/>
    <m/>
    <m/>
    <m/>
    <m/>
    <m/>
    <m/>
    <m/>
    <m/>
    <m/>
    <n v="-12.785439523294299"/>
    <m/>
    <m/>
    <m/>
    <m/>
    <m/>
    <m/>
    <m/>
    <m/>
    <m/>
  </r>
  <r>
    <x v="7"/>
    <x v="6"/>
    <m/>
    <m/>
    <m/>
    <m/>
    <m/>
    <m/>
    <m/>
    <m/>
    <m/>
    <m/>
    <m/>
    <m/>
    <m/>
    <n v="-12.785439523294299"/>
    <m/>
    <m/>
    <m/>
    <m/>
    <m/>
    <m/>
    <m/>
    <m/>
    <m/>
  </r>
  <r>
    <x v="7"/>
    <x v="7"/>
    <m/>
    <m/>
    <m/>
    <m/>
    <m/>
    <m/>
    <m/>
    <m/>
    <m/>
    <m/>
    <m/>
    <m/>
    <m/>
    <n v="11.871141624326734"/>
    <m/>
    <m/>
    <m/>
    <m/>
    <m/>
    <m/>
    <m/>
    <m/>
    <m/>
  </r>
  <r>
    <x v="8"/>
    <x v="0"/>
    <m/>
    <m/>
    <m/>
    <m/>
    <m/>
    <m/>
    <m/>
    <m/>
    <m/>
    <m/>
    <m/>
    <m/>
    <m/>
    <n v="35.263192026950485"/>
    <m/>
    <m/>
    <m/>
    <m/>
    <m/>
    <m/>
    <m/>
    <m/>
    <m/>
  </r>
  <r>
    <x v="8"/>
    <x v="1"/>
    <m/>
    <m/>
    <m/>
    <m/>
    <m/>
    <m/>
    <m/>
    <m/>
    <m/>
    <m/>
    <m/>
    <m/>
    <m/>
    <n v="19.219901202051396"/>
    <m/>
    <m/>
    <m/>
    <m/>
    <m/>
    <m/>
    <m/>
    <m/>
    <m/>
  </r>
  <r>
    <x v="8"/>
    <x v="2"/>
    <m/>
    <m/>
    <m/>
    <m/>
    <m/>
    <m/>
    <m/>
    <m/>
    <m/>
    <m/>
    <m/>
    <m/>
    <m/>
    <n v="0"/>
    <m/>
    <m/>
    <m/>
    <m/>
    <m/>
    <m/>
    <m/>
    <m/>
    <m/>
  </r>
  <r>
    <x v="8"/>
    <x v="3"/>
    <m/>
    <m/>
    <m/>
    <m/>
    <m/>
    <m/>
    <m/>
    <m/>
    <m/>
    <m/>
    <m/>
    <m/>
    <m/>
    <n v="0"/>
    <m/>
    <m/>
    <m/>
    <m/>
    <m/>
    <m/>
    <m/>
    <m/>
    <m/>
  </r>
  <r>
    <x v="8"/>
    <x v="4"/>
    <m/>
    <m/>
    <m/>
    <m/>
    <m/>
    <m/>
    <m/>
    <m/>
    <m/>
    <m/>
    <m/>
    <m/>
    <m/>
    <n v="-14.32211767085478"/>
    <m/>
    <m/>
    <m/>
    <m/>
    <m/>
    <m/>
    <m/>
    <m/>
    <m/>
  </r>
  <r>
    <x v="8"/>
    <x v="5"/>
    <m/>
    <m/>
    <m/>
    <m/>
    <m/>
    <m/>
    <m/>
    <m/>
    <m/>
    <m/>
    <m/>
    <m/>
    <m/>
    <n v="-14.32211767085478"/>
    <m/>
    <m/>
    <m/>
    <m/>
    <m/>
    <m/>
    <m/>
    <m/>
    <m/>
  </r>
  <r>
    <x v="8"/>
    <x v="6"/>
    <m/>
    <m/>
    <m/>
    <m/>
    <m/>
    <m/>
    <m/>
    <m/>
    <m/>
    <m/>
    <m/>
    <m/>
    <m/>
    <n v="-14.32211767085478"/>
    <m/>
    <m/>
    <m/>
    <m/>
    <m/>
    <m/>
    <m/>
    <m/>
    <m/>
  </r>
  <r>
    <x v="8"/>
    <x v="7"/>
    <m/>
    <m/>
    <m/>
    <m/>
    <m/>
    <m/>
    <m/>
    <m/>
    <m/>
    <m/>
    <m/>
    <m/>
    <m/>
    <n v="11.51674021643754"/>
    <m/>
    <m/>
    <m/>
    <m/>
    <m/>
    <m/>
    <m/>
    <m/>
    <m/>
  </r>
  <r>
    <x v="9"/>
    <x v="0"/>
    <m/>
    <m/>
    <m/>
    <m/>
    <m/>
    <m/>
    <m/>
    <m/>
    <m/>
    <m/>
    <m/>
    <m/>
    <m/>
    <n v="38.477477383248782"/>
    <m/>
    <m/>
    <m/>
    <m/>
    <m/>
    <m/>
    <m/>
    <m/>
    <m/>
  </r>
  <r>
    <x v="9"/>
    <x v="1"/>
    <m/>
    <m/>
    <m/>
    <m/>
    <m/>
    <m/>
    <m/>
    <m/>
    <m/>
    <m/>
    <m/>
    <m/>
    <m/>
    <n v="20.566479749699017"/>
    <m/>
    <m/>
    <m/>
    <m/>
    <m/>
    <m/>
    <m/>
    <m/>
    <m/>
  </r>
  <r>
    <x v="9"/>
    <x v="2"/>
    <m/>
    <m/>
    <m/>
    <m/>
    <m/>
    <m/>
    <m/>
    <m/>
    <m/>
    <m/>
    <m/>
    <m/>
    <m/>
    <n v="0"/>
    <m/>
    <m/>
    <m/>
    <m/>
    <m/>
    <m/>
    <m/>
    <m/>
    <m/>
  </r>
  <r>
    <x v="9"/>
    <x v="3"/>
    <m/>
    <m/>
    <m/>
    <m/>
    <m/>
    <m/>
    <m/>
    <m/>
    <m/>
    <m/>
    <m/>
    <m/>
    <m/>
    <n v="0"/>
    <m/>
    <m/>
    <m/>
    <m/>
    <m/>
    <m/>
    <m/>
    <m/>
    <m/>
  </r>
  <r>
    <x v="9"/>
    <x v="4"/>
    <m/>
    <m/>
    <m/>
    <m/>
    <m/>
    <m/>
    <m/>
    <m/>
    <m/>
    <m/>
    <m/>
    <m/>
    <m/>
    <n v="-15.577252637349607"/>
    <m/>
    <m/>
    <m/>
    <m/>
    <m/>
    <m/>
    <m/>
    <m/>
    <m/>
  </r>
  <r>
    <x v="9"/>
    <x v="5"/>
    <m/>
    <m/>
    <m/>
    <m/>
    <m/>
    <m/>
    <m/>
    <m/>
    <m/>
    <m/>
    <m/>
    <m/>
    <m/>
    <n v="-15.577252637349607"/>
    <m/>
    <m/>
    <m/>
    <m/>
    <m/>
    <m/>
    <m/>
    <m/>
    <m/>
  </r>
  <r>
    <x v="9"/>
    <x v="6"/>
    <m/>
    <m/>
    <m/>
    <m/>
    <m/>
    <m/>
    <m/>
    <m/>
    <m/>
    <m/>
    <m/>
    <m/>
    <m/>
    <n v="-15.577252637349607"/>
    <m/>
    <m/>
    <m/>
    <m/>
    <m/>
    <m/>
    <m/>
    <m/>
    <m/>
  </r>
  <r>
    <x v="9"/>
    <x v="7"/>
    <m/>
    <m/>
    <m/>
    <m/>
    <m/>
    <m/>
    <m/>
    <m/>
    <m/>
    <m/>
    <m/>
    <m/>
    <m/>
    <n v="12.31219922089897"/>
    <m/>
    <m/>
    <m/>
    <m/>
    <m/>
    <m/>
    <m/>
    <m/>
    <m/>
  </r>
  <r>
    <x v="10"/>
    <x v="0"/>
    <m/>
    <m/>
    <m/>
    <m/>
    <m/>
    <m/>
    <m/>
    <m/>
    <m/>
    <m/>
    <m/>
    <m/>
    <m/>
    <n v="49.401648923121797"/>
    <m/>
    <m/>
    <m/>
    <m/>
    <m/>
    <m/>
    <m/>
    <m/>
    <m/>
  </r>
  <r>
    <x v="10"/>
    <x v="1"/>
    <m/>
    <m/>
    <m/>
    <m/>
    <m/>
    <m/>
    <m/>
    <m/>
    <m/>
    <m/>
    <m/>
    <m/>
    <m/>
    <n v="21.806209248923889"/>
    <m/>
    <m/>
    <m/>
    <m/>
    <m/>
    <m/>
    <m/>
    <m/>
    <m/>
  </r>
  <r>
    <x v="10"/>
    <x v="2"/>
    <m/>
    <m/>
    <m/>
    <m/>
    <m/>
    <m/>
    <m/>
    <m/>
    <m/>
    <m/>
    <m/>
    <m/>
    <m/>
    <n v="0"/>
    <m/>
    <m/>
    <m/>
    <m/>
    <m/>
    <m/>
    <m/>
    <m/>
    <m/>
  </r>
  <r>
    <x v="10"/>
    <x v="3"/>
    <m/>
    <m/>
    <m/>
    <m/>
    <m/>
    <m/>
    <m/>
    <m/>
    <m/>
    <m/>
    <m/>
    <m/>
    <m/>
    <n v="0"/>
    <m/>
    <m/>
    <m/>
    <m/>
    <m/>
    <m/>
    <m/>
    <m/>
    <m/>
  </r>
  <r>
    <x v="10"/>
    <x v="4"/>
    <m/>
    <m/>
    <m/>
    <m/>
    <m/>
    <m/>
    <m/>
    <m/>
    <m/>
    <m/>
    <m/>
    <m/>
    <m/>
    <n v="-19.428553716950347"/>
    <m/>
    <m/>
    <m/>
    <m/>
    <m/>
    <m/>
    <m/>
    <m/>
    <m/>
  </r>
  <r>
    <x v="10"/>
    <x v="5"/>
    <m/>
    <m/>
    <m/>
    <m/>
    <m/>
    <m/>
    <m/>
    <m/>
    <m/>
    <m/>
    <m/>
    <m/>
    <m/>
    <n v="-19.428553716950347"/>
    <m/>
    <m/>
    <m/>
    <m/>
    <m/>
    <m/>
    <m/>
    <m/>
    <m/>
  </r>
  <r>
    <x v="10"/>
    <x v="6"/>
    <m/>
    <m/>
    <m/>
    <m/>
    <m/>
    <m/>
    <m/>
    <m/>
    <m/>
    <m/>
    <m/>
    <m/>
    <m/>
    <n v="-19.428553716950347"/>
    <m/>
    <m/>
    <m/>
    <m/>
    <m/>
    <m/>
    <m/>
    <m/>
    <m/>
  </r>
  <r>
    <x v="10"/>
    <x v="7"/>
    <m/>
    <m/>
    <m/>
    <m/>
    <m/>
    <m/>
    <m/>
    <m/>
    <m/>
    <m/>
    <m/>
    <m/>
    <m/>
    <n v="12.922197021194648"/>
    <m/>
    <m/>
    <m/>
    <m/>
    <m/>
    <m/>
    <m/>
    <m/>
    <m/>
  </r>
  <r>
    <x v="11"/>
    <x v="0"/>
    <m/>
    <m/>
    <m/>
    <m/>
    <m/>
    <m/>
    <m/>
    <m/>
    <m/>
    <m/>
    <m/>
    <m/>
    <m/>
    <n v="20.691436087778193"/>
    <m/>
    <m/>
    <m/>
    <m/>
    <m/>
    <m/>
    <m/>
    <m/>
    <m/>
  </r>
  <r>
    <x v="11"/>
    <x v="1"/>
    <m/>
    <m/>
    <m/>
    <m/>
    <m/>
    <m/>
    <m/>
    <m/>
    <m/>
    <m/>
    <m/>
    <m/>
    <m/>
    <n v="27.767678756752332"/>
    <m/>
    <m/>
    <m/>
    <m/>
    <m/>
    <m/>
    <m/>
    <m/>
    <m/>
  </r>
  <r>
    <x v="11"/>
    <x v="2"/>
    <m/>
    <m/>
    <m/>
    <m/>
    <m/>
    <m/>
    <m/>
    <m/>
    <m/>
    <m/>
    <m/>
    <m/>
    <m/>
    <n v="0"/>
    <m/>
    <m/>
    <m/>
    <m/>
    <m/>
    <m/>
    <m/>
    <m/>
    <m/>
  </r>
  <r>
    <x v="11"/>
    <x v="3"/>
    <m/>
    <m/>
    <m/>
    <m/>
    <m/>
    <m/>
    <m/>
    <m/>
    <m/>
    <m/>
    <m/>
    <m/>
    <m/>
    <n v="0"/>
    <m/>
    <m/>
    <m/>
    <m/>
    <m/>
    <m/>
    <m/>
    <m/>
    <m/>
  </r>
  <r>
    <x v="11"/>
    <x v="4"/>
    <m/>
    <m/>
    <m/>
    <m/>
    <m/>
    <m/>
    <m/>
    <m/>
    <m/>
    <m/>
    <m/>
    <m/>
    <m/>
    <n v="-10.638957378066026"/>
    <m/>
    <m/>
    <m/>
    <m/>
    <m/>
    <m/>
    <m/>
    <m/>
    <m/>
  </r>
  <r>
    <x v="11"/>
    <x v="5"/>
    <m/>
    <m/>
    <m/>
    <m/>
    <m/>
    <m/>
    <m/>
    <m/>
    <m/>
    <m/>
    <m/>
    <m/>
    <m/>
    <n v="-10.638957378066026"/>
    <m/>
    <m/>
    <m/>
    <m/>
    <m/>
    <m/>
    <m/>
    <m/>
    <m/>
  </r>
  <r>
    <x v="11"/>
    <x v="6"/>
    <m/>
    <m/>
    <m/>
    <m/>
    <m/>
    <m/>
    <m/>
    <m/>
    <m/>
    <m/>
    <m/>
    <m/>
    <m/>
    <n v="-10.638957378066026"/>
    <m/>
    <m/>
    <m/>
    <m/>
    <m/>
    <m/>
    <m/>
    <m/>
    <m/>
  </r>
  <r>
    <x v="11"/>
    <x v="7"/>
    <m/>
    <m/>
    <m/>
    <m/>
    <m/>
    <m/>
    <m/>
    <m/>
    <m/>
    <m/>
    <m/>
    <m/>
    <m/>
    <n v="16.542242710332452"/>
    <m/>
    <m/>
    <m/>
    <m/>
    <m/>
    <m/>
    <m/>
    <m/>
    <m/>
  </r>
  <r>
    <x v="12"/>
    <x v="0"/>
    <m/>
    <m/>
    <m/>
    <m/>
    <m/>
    <m/>
    <m/>
    <m/>
    <m/>
    <m/>
    <m/>
    <m/>
    <m/>
    <n v="28.247732126214014"/>
    <m/>
    <m/>
    <m/>
    <m/>
    <m/>
    <m/>
    <m/>
    <m/>
    <m/>
  </r>
  <r>
    <x v="12"/>
    <x v="1"/>
    <m/>
    <m/>
    <m/>
    <m/>
    <m/>
    <m/>
    <m/>
    <m/>
    <m/>
    <m/>
    <m/>
    <m/>
    <m/>
    <n v="28.744240523979514"/>
    <m/>
    <m/>
    <m/>
    <m/>
    <m/>
    <m/>
    <m/>
    <m/>
    <m/>
  </r>
  <r>
    <x v="12"/>
    <x v="2"/>
    <m/>
    <m/>
    <m/>
    <m/>
    <m/>
    <m/>
    <m/>
    <m/>
    <m/>
    <m/>
    <m/>
    <m/>
    <m/>
    <n v="0"/>
    <m/>
    <m/>
    <m/>
    <m/>
    <m/>
    <m/>
    <m/>
    <m/>
    <m/>
  </r>
  <r>
    <x v="12"/>
    <x v="3"/>
    <m/>
    <m/>
    <m/>
    <m/>
    <m/>
    <m/>
    <m/>
    <m/>
    <m/>
    <m/>
    <m/>
    <m/>
    <m/>
    <n v="0"/>
    <m/>
    <m/>
    <m/>
    <m/>
    <m/>
    <m/>
    <m/>
    <m/>
    <m/>
  </r>
  <r>
    <x v="12"/>
    <x v="4"/>
    <m/>
    <m/>
    <m/>
    <m/>
    <m/>
    <m/>
    <m/>
    <m/>
    <m/>
    <m/>
    <m/>
    <m/>
    <m/>
    <n v="-13.130663763147425"/>
    <m/>
    <m/>
    <m/>
    <m/>
    <m/>
    <m/>
    <m/>
    <m/>
    <m/>
  </r>
  <r>
    <x v="12"/>
    <x v="5"/>
    <m/>
    <m/>
    <m/>
    <m/>
    <m/>
    <m/>
    <m/>
    <m/>
    <m/>
    <m/>
    <m/>
    <m/>
    <m/>
    <n v="-13.130663763147425"/>
    <m/>
    <m/>
    <m/>
    <m/>
    <m/>
    <m/>
    <m/>
    <m/>
    <m/>
  </r>
  <r>
    <x v="12"/>
    <x v="6"/>
    <m/>
    <m/>
    <m/>
    <m/>
    <m/>
    <m/>
    <m/>
    <m/>
    <m/>
    <m/>
    <m/>
    <m/>
    <m/>
    <n v="-13.130663763147425"/>
    <m/>
    <m/>
    <m/>
    <m/>
    <m/>
    <m/>
    <m/>
    <m/>
    <m/>
  </r>
  <r>
    <x v="12"/>
    <x v="7"/>
    <m/>
    <m/>
    <m/>
    <m/>
    <m/>
    <m/>
    <m/>
    <m/>
    <m/>
    <m/>
    <m/>
    <m/>
    <m/>
    <n v="17.599981360751258"/>
    <m/>
    <m/>
    <m/>
    <m/>
    <m/>
    <m/>
    <m/>
    <m/>
    <m/>
  </r>
  <r>
    <x v="13"/>
    <x v="0"/>
    <m/>
    <m/>
    <m/>
    <m/>
    <m/>
    <m/>
    <m/>
    <m/>
    <m/>
    <m/>
    <m/>
    <m/>
    <m/>
    <n v="48.649267976317148"/>
    <m/>
    <m/>
    <m/>
    <m/>
    <m/>
    <m/>
    <m/>
    <m/>
    <m/>
  </r>
  <r>
    <x v="13"/>
    <x v="1"/>
    <m/>
    <m/>
    <m/>
    <m/>
    <m/>
    <m/>
    <m/>
    <m/>
    <m/>
    <m/>
    <m/>
    <m/>
    <m/>
    <n v="25.342855245201552"/>
    <m/>
    <m/>
    <m/>
    <m/>
    <m/>
    <m/>
    <m/>
    <m/>
    <m/>
  </r>
  <r>
    <x v="13"/>
    <x v="2"/>
    <m/>
    <m/>
    <m/>
    <m/>
    <m/>
    <m/>
    <m/>
    <m/>
    <m/>
    <m/>
    <m/>
    <m/>
    <m/>
    <n v="0"/>
    <m/>
    <m/>
    <m/>
    <m/>
    <m/>
    <m/>
    <m/>
    <m/>
    <m/>
  </r>
  <r>
    <x v="13"/>
    <x v="3"/>
    <m/>
    <m/>
    <m/>
    <m/>
    <m/>
    <m/>
    <m/>
    <m/>
    <m/>
    <m/>
    <m/>
    <m/>
    <m/>
    <n v="0"/>
    <m/>
    <m/>
    <m/>
    <m/>
    <m/>
    <m/>
    <m/>
    <m/>
    <m/>
  </r>
  <r>
    <x v="13"/>
    <x v="4"/>
    <m/>
    <m/>
    <m/>
    <m/>
    <m/>
    <m/>
    <m/>
    <m/>
    <m/>
    <m/>
    <m/>
    <m/>
    <m/>
    <n v="-19.613170155121541"/>
    <m/>
    <m/>
    <m/>
    <m/>
    <m/>
    <m/>
    <m/>
    <m/>
    <m/>
  </r>
  <r>
    <x v="13"/>
    <x v="5"/>
    <m/>
    <m/>
    <m/>
    <m/>
    <m/>
    <m/>
    <m/>
    <m/>
    <m/>
    <m/>
    <m/>
    <m/>
    <m/>
    <n v="-19.613170155121541"/>
    <m/>
    <m/>
    <m/>
    <m/>
    <m/>
    <m/>
    <m/>
    <m/>
    <m/>
  </r>
  <r>
    <x v="13"/>
    <x v="6"/>
    <m/>
    <m/>
    <m/>
    <m/>
    <m/>
    <m/>
    <m/>
    <m/>
    <m/>
    <m/>
    <m/>
    <m/>
    <m/>
    <n v="-19.613170155121541"/>
    <m/>
    <m/>
    <m/>
    <m/>
    <m/>
    <m/>
    <m/>
    <m/>
    <m/>
  </r>
  <r>
    <x v="13"/>
    <x v="7"/>
    <m/>
    <m/>
    <m/>
    <m/>
    <m/>
    <m/>
    <m/>
    <m/>
    <m/>
    <m/>
    <m/>
    <m/>
    <m/>
    <n v="15.152612756154081"/>
    <m/>
    <m/>
    <m/>
    <m/>
    <m/>
    <m/>
    <m/>
    <m/>
    <m/>
  </r>
  <r>
    <x v="14"/>
    <x v="0"/>
    <m/>
    <m/>
    <m/>
    <m/>
    <m/>
    <m/>
    <m/>
    <m/>
    <m/>
    <m/>
    <m/>
    <m/>
    <m/>
    <n v="37.425366008651032"/>
    <m/>
    <m/>
    <m/>
    <m/>
    <m/>
    <m/>
    <m/>
    <m/>
    <m/>
  </r>
  <r>
    <x v="14"/>
    <x v="1"/>
    <m/>
    <m/>
    <m/>
    <m/>
    <m/>
    <m/>
    <m/>
    <m/>
    <m/>
    <m/>
    <m/>
    <m/>
    <m/>
    <n v="21.005361937423839"/>
    <m/>
    <m/>
    <m/>
    <m/>
    <m/>
    <m/>
    <m/>
    <m/>
    <m/>
  </r>
  <r>
    <x v="14"/>
    <x v="2"/>
    <m/>
    <m/>
    <m/>
    <m/>
    <m/>
    <m/>
    <m/>
    <m/>
    <m/>
    <m/>
    <m/>
    <m/>
    <m/>
    <n v="0"/>
    <m/>
    <m/>
    <m/>
    <m/>
    <m/>
    <m/>
    <m/>
    <m/>
    <m/>
  </r>
  <r>
    <x v="14"/>
    <x v="3"/>
    <m/>
    <m/>
    <m/>
    <m/>
    <m/>
    <m/>
    <m/>
    <m/>
    <m/>
    <m/>
    <m/>
    <m/>
    <m/>
    <n v="0"/>
    <m/>
    <m/>
    <m/>
    <m/>
    <m/>
    <m/>
    <m/>
    <m/>
    <m/>
  </r>
  <r>
    <x v="14"/>
    <x v="4"/>
    <m/>
    <m/>
    <m/>
    <m/>
    <m/>
    <m/>
    <m/>
    <m/>
    <m/>
    <m/>
    <m/>
    <m/>
    <m/>
    <n v="-15.275672497440249"/>
    <m/>
    <m/>
    <m/>
    <m/>
    <m/>
    <m/>
    <m/>
    <m/>
    <m/>
  </r>
  <r>
    <x v="14"/>
    <x v="5"/>
    <m/>
    <m/>
    <m/>
    <m/>
    <m/>
    <m/>
    <m/>
    <m/>
    <m/>
    <m/>
    <m/>
    <m/>
    <m/>
    <n v="-15.275672497440249"/>
    <m/>
    <m/>
    <m/>
    <m/>
    <m/>
    <m/>
    <m/>
    <m/>
    <m/>
  </r>
  <r>
    <x v="14"/>
    <x v="6"/>
    <m/>
    <m/>
    <m/>
    <m/>
    <m/>
    <m/>
    <m/>
    <m/>
    <m/>
    <m/>
    <m/>
    <m/>
    <m/>
    <n v="-15.275672497440249"/>
    <m/>
    <m/>
    <m/>
    <m/>
    <m/>
    <m/>
    <m/>
    <m/>
    <m/>
  </r>
  <r>
    <x v="14"/>
    <x v="7"/>
    <m/>
    <m/>
    <m/>
    <m/>
    <m/>
    <m/>
    <m/>
    <m/>
    <m/>
    <m/>
    <m/>
    <m/>
    <m/>
    <n v="12.603710453754124"/>
    <m/>
    <m/>
    <m/>
    <m/>
    <m/>
    <m/>
    <m/>
    <m/>
    <m/>
  </r>
  <r>
    <x v="15"/>
    <x v="0"/>
    <m/>
    <m/>
    <m/>
    <m/>
    <m/>
    <m/>
    <m/>
    <m/>
    <m/>
    <m/>
    <m/>
    <m/>
    <m/>
    <n v="25.693079499694271"/>
    <m/>
    <m/>
    <m/>
    <m/>
    <m/>
    <m/>
    <m/>
    <m/>
    <m/>
  </r>
  <r>
    <x v="15"/>
    <x v="1"/>
    <m/>
    <m/>
    <m/>
    <m/>
    <m/>
    <m/>
    <m/>
    <m/>
    <m/>
    <m/>
    <m/>
    <m/>
    <m/>
    <n v="24.819209137703726"/>
    <m/>
    <m/>
    <m/>
    <m/>
    <m/>
    <m/>
    <m/>
    <m/>
    <m/>
  </r>
  <r>
    <x v="15"/>
    <x v="2"/>
    <m/>
    <m/>
    <m/>
    <m/>
    <m/>
    <m/>
    <m/>
    <m/>
    <m/>
    <m/>
    <m/>
    <m/>
    <m/>
    <n v="0"/>
    <m/>
    <m/>
    <m/>
    <m/>
    <m/>
    <m/>
    <m/>
    <m/>
    <m/>
  </r>
  <r>
    <x v="15"/>
    <x v="3"/>
    <m/>
    <m/>
    <m/>
    <m/>
    <m/>
    <m/>
    <m/>
    <m/>
    <m/>
    <m/>
    <m/>
    <m/>
    <m/>
    <n v="0"/>
    <m/>
    <m/>
    <m/>
    <m/>
    <m/>
    <m/>
    <m/>
    <m/>
    <m/>
  </r>
  <r>
    <x v="15"/>
    <x v="4"/>
    <m/>
    <m/>
    <m/>
    <m/>
    <m/>
    <m/>
    <m/>
    <m/>
    <m/>
    <m/>
    <m/>
    <m/>
    <m/>
    <n v="-11.77853194964872"/>
    <m/>
    <m/>
    <m/>
    <m/>
    <m/>
    <m/>
    <m/>
    <m/>
    <m/>
  </r>
  <r>
    <x v="15"/>
    <x v="5"/>
    <m/>
    <m/>
    <m/>
    <m/>
    <m/>
    <m/>
    <m/>
    <m/>
    <m/>
    <m/>
    <m/>
    <m/>
    <m/>
    <n v="-11.77853194964872"/>
    <m/>
    <m/>
    <m/>
    <m/>
    <m/>
    <m/>
    <m/>
    <m/>
    <m/>
  </r>
  <r>
    <x v="15"/>
    <x v="6"/>
    <m/>
    <m/>
    <m/>
    <m/>
    <m/>
    <m/>
    <m/>
    <m/>
    <m/>
    <m/>
    <m/>
    <m/>
    <m/>
    <n v="-11.77853194964872"/>
    <m/>
    <m/>
    <m/>
    <m/>
    <m/>
    <m/>
    <m/>
    <m/>
    <m/>
  </r>
  <r>
    <x v="15"/>
    <x v="7"/>
    <m/>
    <m/>
    <m/>
    <m/>
    <m/>
    <m/>
    <m/>
    <m/>
    <m/>
    <m/>
    <m/>
    <m/>
    <m/>
    <n v="15.176692788451838"/>
    <m/>
    <m/>
    <m/>
    <m/>
    <m/>
    <m/>
    <m/>
    <m/>
    <m/>
  </r>
  <r>
    <x v="16"/>
    <x v="0"/>
    <m/>
    <m/>
    <m/>
    <m/>
    <m/>
    <m/>
    <m/>
    <m/>
    <m/>
    <m/>
    <m/>
    <m/>
    <m/>
    <n v="28.720634621996684"/>
    <m/>
    <m/>
    <m/>
    <m/>
    <m/>
    <m/>
    <m/>
    <m/>
    <m/>
  </r>
  <r>
    <x v="16"/>
    <x v="1"/>
    <m/>
    <m/>
    <m/>
    <m/>
    <m/>
    <m/>
    <m/>
    <m/>
    <m/>
    <m/>
    <m/>
    <m/>
    <m/>
    <n v="24.870539419398085"/>
    <m/>
    <m/>
    <m/>
    <m/>
    <m/>
    <m/>
    <m/>
    <m/>
    <m/>
  </r>
  <r>
    <x v="16"/>
    <x v="2"/>
    <m/>
    <m/>
    <m/>
    <m/>
    <m/>
    <m/>
    <m/>
    <m/>
    <m/>
    <m/>
    <m/>
    <m/>
    <m/>
    <n v="0"/>
    <m/>
    <m/>
    <m/>
    <m/>
    <m/>
    <m/>
    <m/>
    <m/>
    <m/>
  </r>
  <r>
    <x v="16"/>
    <x v="3"/>
    <m/>
    <m/>
    <m/>
    <m/>
    <m/>
    <m/>
    <m/>
    <m/>
    <m/>
    <m/>
    <m/>
    <m/>
    <m/>
    <n v="0"/>
    <m/>
    <m/>
    <m/>
    <m/>
    <m/>
    <m/>
    <m/>
    <m/>
    <m/>
  </r>
  <r>
    <x v="16"/>
    <x v="4"/>
    <m/>
    <m/>
    <m/>
    <m/>
    <m/>
    <m/>
    <m/>
    <m/>
    <m/>
    <m/>
    <m/>
    <m/>
    <m/>
    <n v="-12.809593614713179"/>
    <m/>
    <m/>
    <m/>
    <m/>
    <m/>
    <m/>
    <m/>
    <m/>
    <m/>
  </r>
  <r>
    <x v="16"/>
    <x v="5"/>
    <m/>
    <m/>
    <m/>
    <m/>
    <m/>
    <m/>
    <m/>
    <m/>
    <m/>
    <m/>
    <m/>
    <m/>
    <m/>
    <n v="-12.809593614713179"/>
    <m/>
    <m/>
    <m/>
    <m/>
    <m/>
    <m/>
    <m/>
    <m/>
    <m/>
  </r>
  <r>
    <x v="16"/>
    <x v="6"/>
    <m/>
    <m/>
    <m/>
    <m/>
    <m/>
    <m/>
    <m/>
    <m/>
    <m/>
    <m/>
    <m/>
    <m/>
    <m/>
    <n v="-12.809593614713179"/>
    <m/>
    <m/>
    <m/>
    <m/>
    <m/>
    <m/>
    <m/>
    <m/>
    <m/>
  </r>
  <r>
    <x v="16"/>
    <x v="7"/>
    <m/>
    <m/>
    <m/>
    <m/>
    <m/>
    <m/>
    <m/>
    <m/>
    <m/>
    <m/>
    <m/>
    <m/>
    <m/>
    <n v="15.162393197255227"/>
    <m/>
    <m/>
    <m/>
    <m/>
    <m/>
    <m/>
    <m/>
    <m/>
    <m/>
  </r>
  <r>
    <x v="17"/>
    <x v="0"/>
    <m/>
    <m/>
    <m/>
    <m/>
    <m/>
    <m/>
    <m/>
    <m/>
    <m/>
    <m/>
    <m/>
    <m/>
    <m/>
    <n v="148.44867435962337"/>
    <m/>
    <m/>
    <m/>
    <m/>
    <m/>
    <m/>
    <m/>
    <m/>
    <m/>
  </r>
  <r>
    <x v="17"/>
    <x v="1"/>
    <m/>
    <m/>
    <m/>
    <m/>
    <m/>
    <m/>
    <m/>
    <m/>
    <m/>
    <m/>
    <m/>
    <m/>
    <m/>
    <n v="59.634454839562288"/>
    <m/>
    <m/>
    <m/>
    <m/>
    <m/>
    <m/>
    <m/>
    <m/>
    <m/>
  </r>
  <r>
    <x v="17"/>
    <x v="2"/>
    <m/>
    <m/>
    <m/>
    <m/>
    <m/>
    <m/>
    <m/>
    <m/>
    <m/>
    <m/>
    <m/>
    <m/>
    <m/>
    <n v="0"/>
    <m/>
    <m/>
    <m/>
    <m/>
    <m/>
    <m/>
    <m/>
    <m/>
    <m/>
  </r>
  <r>
    <x v="17"/>
    <x v="3"/>
    <m/>
    <m/>
    <m/>
    <m/>
    <m/>
    <m/>
    <m/>
    <m/>
    <m/>
    <m/>
    <m/>
    <m/>
    <m/>
    <n v="0"/>
    <m/>
    <m/>
    <m/>
    <m/>
    <m/>
    <m/>
    <m/>
    <m/>
    <m/>
  </r>
  <r>
    <x v="17"/>
    <x v="4"/>
    <m/>
    <m/>
    <m/>
    <m/>
    <m/>
    <m/>
    <m/>
    <m/>
    <m/>
    <m/>
    <m/>
    <m/>
    <m/>
    <n v="-57.649739501303834"/>
    <m/>
    <m/>
    <m/>
    <m/>
    <m/>
    <m/>
    <m/>
    <m/>
    <m/>
  </r>
  <r>
    <x v="17"/>
    <x v="5"/>
    <m/>
    <m/>
    <m/>
    <m/>
    <m/>
    <m/>
    <m/>
    <m/>
    <m/>
    <m/>
    <m/>
    <m/>
    <m/>
    <n v="-57.649739501303834"/>
    <m/>
    <m/>
    <m/>
    <m/>
    <m/>
    <m/>
    <m/>
    <m/>
    <m/>
  </r>
  <r>
    <x v="17"/>
    <x v="6"/>
    <m/>
    <m/>
    <m/>
    <m/>
    <m/>
    <m/>
    <m/>
    <m/>
    <m/>
    <m/>
    <m/>
    <m/>
    <m/>
    <n v="-57.649739501303834"/>
    <m/>
    <m/>
    <m/>
    <m/>
    <m/>
    <m/>
    <m/>
    <m/>
    <m/>
  </r>
  <r>
    <x v="17"/>
    <x v="7"/>
    <m/>
    <m/>
    <m/>
    <m/>
    <m/>
    <m/>
    <m/>
    <m/>
    <m/>
    <m/>
    <m/>
    <m/>
    <m/>
    <n v="35.133910695274174"/>
    <m/>
    <m/>
    <m/>
    <m/>
    <m/>
    <m/>
    <m/>
    <m/>
    <m/>
  </r>
  <r>
    <x v="18"/>
    <x v="0"/>
    <m/>
    <m/>
    <m/>
    <m/>
    <m/>
    <m/>
    <m/>
    <m/>
    <m/>
    <m/>
    <m/>
    <m/>
    <m/>
    <n v="15.669474991922915"/>
    <m/>
    <m/>
    <m/>
    <m/>
    <m/>
    <m/>
    <m/>
    <m/>
    <m/>
  </r>
  <r>
    <x v="18"/>
    <x v="1"/>
    <m/>
    <m/>
    <m/>
    <m/>
    <m/>
    <m/>
    <m/>
    <m/>
    <m/>
    <m/>
    <m/>
    <m/>
    <m/>
    <n v="10.751829386080967"/>
    <m/>
    <m/>
    <m/>
    <m/>
    <m/>
    <m/>
    <m/>
    <m/>
    <m/>
  </r>
  <r>
    <x v="18"/>
    <x v="2"/>
    <m/>
    <m/>
    <m/>
    <m/>
    <m/>
    <m/>
    <m/>
    <m/>
    <m/>
    <m/>
    <m/>
    <m/>
    <m/>
    <n v="0"/>
    <m/>
    <m/>
    <m/>
    <m/>
    <m/>
    <m/>
    <m/>
    <m/>
    <m/>
  </r>
  <r>
    <x v="18"/>
    <x v="3"/>
    <m/>
    <m/>
    <m/>
    <m/>
    <m/>
    <m/>
    <m/>
    <m/>
    <m/>
    <m/>
    <m/>
    <m/>
    <m/>
    <n v="0"/>
    <m/>
    <m/>
    <m/>
    <m/>
    <m/>
    <m/>
    <m/>
    <m/>
    <m/>
  </r>
  <r>
    <x v="18"/>
    <x v="4"/>
    <m/>
    <m/>
    <m/>
    <m/>
    <m/>
    <m/>
    <m/>
    <m/>
    <m/>
    <m/>
    <m/>
    <m/>
    <m/>
    <n v="-6.6387971892406812"/>
    <m/>
    <m/>
    <m/>
    <m/>
    <m/>
    <m/>
    <m/>
    <m/>
    <m/>
  </r>
  <r>
    <x v="18"/>
    <x v="5"/>
    <m/>
    <m/>
    <m/>
    <m/>
    <m/>
    <m/>
    <m/>
    <m/>
    <m/>
    <m/>
    <m/>
    <m/>
    <m/>
    <n v="-6.6387971892406812"/>
    <m/>
    <m/>
    <m/>
    <m/>
    <m/>
    <m/>
    <m/>
    <m/>
    <m/>
  </r>
  <r>
    <x v="18"/>
    <x v="6"/>
    <m/>
    <m/>
    <m/>
    <m/>
    <m/>
    <m/>
    <m/>
    <m/>
    <m/>
    <m/>
    <m/>
    <m/>
    <m/>
    <n v="-6.6387971892406812"/>
    <m/>
    <m/>
    <m/>
    <m/>
    <m/>
    <m/>
    <m/>
    <m/>
    <m/>
  </r>
  <r>
    <x v="18"/>
    <x v="7"/>
    <m/>
    <m/>
    <m/>
    <m/>
    <m/>
    <m/>
    <m/>
    <m/>
    <m/>
    <m/>
    <m/>
    <m/>
    <m/>
    <n v="6.5049128102818399"/>
    <m/>
    <m/>
    <m/>
    <m/>
    <m/>
    <m/>
    <m/>
    <m/>
    <m/>
  </r>
  <r>
    <x v="19"/>
    <x v="0"/>
    <m/>
    <m/>
    <m/>
    <m/>
    <m/>
    <m/>
    <m/>
    <m/>
    <m/>
    <m/>
    <m/>
    <m/>
    <m/>
    <n v="40.670266237764999"/>
    <m/>
    <m/>
    <m/>
    <m/>
    <m/>
    <m/>
    <m/>
    <m/>
    <m/>
  </r>
  <r>
    <x v="19"/>
    <x v="1"/>
    <m/>
    <m/>
    <m/>
    <m/>
    <m/>
    <m/>
    <m/>
    <m/>
    <m/>
    <m/>
    <m/>
    <m/>
    <m/>
    <n v="17.177646348629612"/>
    <m/>
    <m/>
    <m/>
    <m/>
    <m/>
    <m/>
    <m/>
    <m/>
    <m/>
  </r>
  <r>
    <x v="19"/>
    <x v="2"/>
    <m/>
    <m/>
    <m/>
    <m/>
    <m/>
    <m/>
    <m/>
    <m/>
    <m/>
    <m/>
    <m/>
    <m/>
    <m/>
    <n v="0"/>
    <m/>
    <m/>
    <m/>
    <m/>
    <m/>
    <m/>
    <m/>
    <m/>
    <m/>
  </r>
  <r>
    <x v="19"/>
    <x v="3"/>
    <m/>
    <m/>
    <m/>
    <m/>
    <m/>
    <m/>
    <m/>
    <m/>
    <m/>
    <m/>
    <m/>
    <m/>
    <m/>
    <n v="0"/>
    <m/>
    <m/>
    <m/>
    <m/>
    <m/>
    <m/>
    <m/>
    <m/>
    <m/>
  </r>
  <r>
    <x v="19"/>
    <x v="4"/>
    <m/>
    <m/>
    <m/>
    <m/>
    <m/>
    <m/>
    <m/>
    <m/>
    <m/>
    <m/>
    <m/>
    <m/>
    <m/>
    <n v="-15.898505913772011"/>
    <m/>
    <m/>
    <m/>
    <m/>
    <m/>
    <m/>
    <m/>
    <m/>
    <m/>
  </r>
  <r>
    <x v="19"/>
    <x v="5"/>
    <m/>
    <m/>
    <m/>
    <m/>
    <m/>
    <m/>
    <m/>
    <m/>
    <m/>
    <m/>
    <m/>
    <m/>
    <m/>
    <n v="-15.898505913772011"/>
    <m/>
    <m/>
    <m/>
    <m/>
    <m/>
    <m/>
    <m/>
    <m/>
    <m/>
  </r>
  <r>
    <x v="19"/>
    <x v="6"/>
    <m/>
    <m/>
    <m/>
    <m/>
    <m/>
    <m/>
    <m/>
    <m/>
    <m/>
    <m/>
    <m/>
    <m/>
    <m/>
    <n v="-15.898505913772011"/>
    <m/>
    <m/>
    <m/>
    <m/>
    <m/>
    <m/>
    <m/>
    <m/>
    <m/>
  </r>
  <r>
    <x v="19"/>
    <x v="7"/>
    <m/>
    <m/>
    <m/>
    <m/>
    <m/>
    <m/>
    <m/>
    <m/>
    <m/>
    <m/>
    <m/>
    <m/>
    <m/>
    <n v="10.152394845078577"/>
    <m/>
    <m/>
    <m/>
    <m/>
    <m/>
    <m/>
    <m/>
    <m/>
    <m/>
  </r>
  <r>
    <x v="20"/>
    <x v="0"/>
    <m/>
    <m/>
    <m/>
    <m/>
    <m/>
    <m/>
    <m/>
    <m/>
    <m/>
    <m/>
    <m/>
    <m/>
    <m/>
    <n v="33.091073946049519"/>
    <m/>
    <m/>
    <m/>
    <m/>
    <m/>
    <m/>
    <m/>
    <m/>
    <m/>
  </r>
  <r>
    <x v="20"/>
    <x v="1"/>
    <m/>
    <m/>
    <m/>
    <m/>
    <m/>
    <m/>
    <m/>
    <m/>
    <m/>
    <m/>
    <m/>
    <m/>
    <m/>
    <n v="31.673542020312638"/>
    <m/>
    <m/>
    <m/>
    <m/>
    <m/>
    <m/>
    <m/>
    <m/>
    <m/>
  </r>
  <r>
    <x v="20"/>
    <x v="2"/>
    <m/>
    <m/>
    <m/>
    <m/>
    <m/>
    <m/>
    <m/>
    <m/>
    <m/>
    <m/>
    <m/>
    <m/>
    <m/>
    <n v="0"/>
    <m/>
    <m/>
    <m/>
    <m/>
    <m/>
    <m/>
    <m/>
    <m/>
    <m/>
  </r>
  <r>
    <x v="20"/>
    <x v="3"/>
    <m/>
    <m/>
    <m/>
    <m/>
    <m/>
    <m/>
    <m/>
    <m/>
    <m/>
    <m/>
    <m/>
    <m/>
    <m/>
    <n v="0"/>
    <m/>
    <m/>
    <m/>
    <m/>
    <m/>
    <m/>
    <m/>
    <m/>
    <m/>
  </r>
  <r>
    <x v="20"/>
    <x v="4"/>
    <m/>
    <m/>
    <m/>
    <m/>
    <m/>
    <m/>
    <m/>
    <m/>
    <m/>
    <m/>
    <m/>
    <m/>
    <m/>
    <n v="-15.1337374693199"/>
    <m/>
    <m/>
    <m/>
    <m/>
    <m/>
    <m/>
    <m/>
    <m/>
    <m/>
  </r>
  <r>
    <x v="20"/>
    <x v="5"/>
    <m/>
    <m/>
    <m/>
    <m/>
    <m/>
    <m/>
    <m/>
    <m/>
    <m/>
    <m/>
    <m/>
    <m/>
    <m/>
    <n v="-15.1337374693199"/>
    <m/>
    <m/>
    <m/>
    <m/>
    <m/>
    <m/>
    <m/>
    <m/>
    <m/>
  </r>
  <r>
    <x v="20"/>
    <x v="6"/>
    <m/>
    <m/>
    <m/>
    <m/>
    <m/>
    <m/>
    <m/>
    <m/>
    <m/>
    <m/>
    <m/>
    <m/>
    <m/>
    <n v="-15.1337374693199"/>
    <m/>
    <m/>
    <m/>
    <m/>
    <m/>
    <m/>
    <m/>
    <m/>
    <m/>
  </r>
  <r>
    <x v="20"/>
    <x v="7"/>
    <m/>
    <m/>
    <m/>
    <m/>
    <m/>
    <m/>
    <m/>
    <m/>
    <m/>
    <m/>
    <m/>
    <m/>
    <m/>
    <n v="19.363403558402464"/>
    <m/>
    <m/>
    <m/>
    <m/>
    <m/>
    <m/>
    <m/>
    <m/>
    <m/>
  </r>
  <r>
    <x v="21"/>
    <x v="0"/>
    <m/>
    <m/>
    <m/>
    <m/>
    <m/>
    <m/>
    <m/>
    <m/>
    <m/>
    <m/>
    <m/>
    <m/>
    <m/>
    <n v="24.139141575263434"/>
    <m/>
    <m/>
    <m/>
    <m/>
    <m/>
    <m/>
    <m/>
    <m/>
    <m/>
  </r>
  <r>
    <x v="21"/>
    <x v="1"/>
    <m/>
    <m/>
    <m/>
    <m/>
    <m/>
    <m/>
    <m/>
    <m/>
    <m/>
    <m/>
    <m/>
    <m/>
    <m/>
    <n v="15.952734762537563"/>
    <m/>
    <m/>
    <m/>
    <m/>
    <m/>
    <m/>
    <m/>
    <m/>
    <m/>
  </r>
  <r>
    <x v="21"/>
    <x v="2"/>
    <m/>
    <m/>
    <m/>
    <m/>
    <m/>
    <m/>
    <m/>
    <m/>
    <m/>
    <m/>
    <m/>
    <m/>
    <m/>
    <n v="0"/>
    <m/>
    <m/>
    <m/>
    <m/>
    <m/>
    <m/>
    <m/>
    <m/>
    <m/>
  </r>
  <r>
    <x v="21"/>
    <x v="3"/>
    <m/>
    <m/>
    <m/>
    <m/>
    <m/>
    <m/>
    <m/>
    <m/>
    <m/>
    <m/>
    <m/>
    <m/>
    <m/>
    <n v="0"/>
    <m/>
    <m/>
    <m/>
    <m/>
    <m/>
    <m/>
    <m/>
    <m/>
    <m/>
  </r>
  <r>
    <x v="21"/>
    <x v="4"/>
    <m/>
    <m/>
    <m/>
    <m/>
    <m/>
    <m/>
    <m/>
    <m/>
    <m/>
    <m/>
    <m/>
    <m/>
    <m/>
    <n v="-10.151352988342611"/>
    <m/>
    <m/>
    <m/>
    <m/>
    <m/>
    <m/>
    <m/>
    <m/>
    <m/>
  </r>
  <r>
    <x v="21"/>
    <x v="5"/>
    <m/>
    <m/>
    <m/>
    <m/>
    <m/>
    <m/>
    <m/>
    <m/>
    <m/>
    <m/>
    <m/>
    <m/>
    <m/>
    <n v="-10.151352988342611"/>
    <m/>
    <m/>
    <m/>
    <m/>
    <m/>
    <m/>
    <m/>
    <m/>
    <m/>
  </r>
  <r>
    <x v="21"/>
    <x v="6"/>
    <m/>
    <m/>
    <m/>
    <m/>
    <m/>
    <m/>
    <m/>
    <m/>
    <m/>
    <m/>
    <m/>
    <m/>
    <m/>
    <n v="-10.151352988342611"/>
    <m/>
    <m/>
    <m/>
    <m/>
    <m/>
    <m/>
    <m/>
    <m/>
    <m/>
  </r>
  <r>
    <x v="21"/>
    <x v="7"/>
    <m/>
    <m/>
    <m/>
    <m/>
    <m/>
    <m/>
    <m/>
    <m/>
    <m/>
    <m/>
    <m/>
    <m/>
    <m/>
    <n v="9.6378173727731689"/>
    <m/>
    <m/>
    <m/>
    <m/>
    <m/>
    <m/>
    <m/>
    <m/>
    <m/>
  </r>
  <r>
    <x v="22"/>
    <x v="0"/>
    <m/>
    <m/>
    <m/>
    <m/>
    <m/>
    <m/>
    <m/>
    <m/>
    <m/>
    <m/>
    <m/>
    <m/>
    <m/>
    <n v="16.903035916334531"/>
    <m/>
    <m/>
    <m/>
    <m/>
    <m/>
    <m/>
    <m/>
    <m/>
    <m/>
  </r>
  <r>
    <x v="22"/>
    <x v="1"/>
    <m/>
    <m/>
    <m/>
    <m/>
    <m/>
    <m/>
    <m/>
    <m/>
    <m/>
    <m/>
    <m/>
    <m/>
    <m/>
    <n v="23.371115071638357"/>
    <m/>
    <m/>
    <m/>
    <m/>
    <m/>
    <m/>
    <m/>
    <m/>
    <m/>
  </r>
  <r>
    <x v="22"/>
    <x v="2"/>
    <m/>
    <m/>
    <m/>
    <m/>
    <m/>
    <m/>
    <m/>
    <m/>
    <m/>
    <m/>
    <m/>
    <m/>
    <m/>
    <n v="0"/>
    <m/>
    <m/>
    <m/>
    <m/>
    <m/>
    <m/>
    <m/>
    <m/>
    <m/>
  </r>
  <r>
    <x v="22"/>
    <x v="3"/>
    <m/>
    <m/>
    <m/>
    <m/>
    <m/>
    <m/>
    <m/>
    <m/>
    <m/>
    <m/>
    <m/>
    <m/>
    <m/>
    <n v="0"/>
    <m/>
    <m/>
    <m/>
    <m/>
    <m/>
    <m/>
    <m/>
    <m/>
    <m/>
  </r>
  <r>
    <x v="22"/>
    <x v="4"/>
    <m/>
    <m/>
    <m/>
    <m/>
    <m/>
    <m/>
    <m/>
    <m/>
    <m/>
    <m/>
    <m/>
    <m/>
    <m/>
    <n v="-8.9544502190185273"/>
    <m/>
    <m/>
    <m/>
    <m/>
    <m/>
    <m/>
    <m/>
    <m/>
    <m/>
  </r>
  <r>
    <x v="22"/>
    <x v="5"/>
    <m/>
    <m/>
    <m/>
    <m/>
    <m/>
    <m/>
    <m/>
    <m/>
    <m/>
    <m/>
    <m/>
    <m/>
    <m/>
    <n v="-8.9544502190185273"/>
    <m/>
    <m/>
    <m/>
    <m/>
    <m/>
    <m/>
    <m/>
    <m/>
    <m/>
  </r>
  <r>
    <x v="22"/>
    <x v="6"/>
    <m/>
    <m/>
    <m/>
    <m/>
    <m/>
    <m/>
    <m/>
    <m/>
    <m/>
    <m/>
    <m/>
    <m/>
    <m/>
    <n v="-8.9544502190185273"/>
    <m/>
    <m/>
    <m/>
    <m/>
    <m/>
    <m/>
    <m/>
    <m/>
    <m/>
  </r>
  <r>
    <x v="22"/>
    <x v="7"/>
    <m/>
    <m/>
    <m/>
    <m/>
    <m/>
    <m/>
    <m/>
    <m/>
    <m/>
    <m/>
    <m/>
    <m/>
    <m/>
    <n v="13.41080033091731"/>
    <m/>
    <m/>
    <m/>
    <m/>
    <m/>
    <m/>
    <m/>
    <m/>
    <m/>
  </r>
  <r>
    <x v="23"/>
    <x v="0"/>
    <m/>
    <m/>
    <m/>
    <m/>
    <m/>
    <m/>
    <m/>
    <m/>
    <m/>
    <m/>
    <m/>
    <m/>
    <m/>
    <n v="26.946676646599187"/>
    <m/>
    <m/>
    <m/>
    <m/>
    <m/>
    <m/>
    <m/>
    <m/>
    <m/>
  </r>
  <r>
    <x v="23"/>
    <x v="1"/>
    <m/>
    <m/>
    <m/>
    <m/>
    <m/>
    <m/>
    <m/>
    <m/>
    <m/>
    <m/>
    <m/>
    <m/>
    <m/>
    <n v="27.512413480205485"/>
    <m/>
    <m/>
    <m/>
    <m/>
    <m/>
    <m/>
    <m/>
    <m/>
    <m/>
  </r>
  <r>
    <x v="23"/>
    <x v="2"/>
    <m/>
    <m/>
    <m/>
    <m/>
    <m/>
    <m/>
    <m/>
    <m/>
    <m/>
    <m/>
    <m/>
    <m/>
    <m/>
    <n v="0"/>
    <m/>
    <m/>
    <m/>
    <m/>
    <m/>
    <m/>
    <m/>
    <m/>
    <m/>
  </r>
  <r>
    <x v="23"/>
    <x v="3"/>
    <m/>
    <m/>
    <m/>
    <m/>
    <m/>
    <m/>
    <m/>
    <m/>
    <m/>
    <m/>
    <m/>
    <m/>
    <m/>
    <n v="0"/>
    <m/>
    <m/>
    <m/>
    <m/>
    <m/>
    <m/>
    <m/>
    <m/>
    <m/>
  </r>
  <r>
    <x v="23"/>
    <x v="4"/>
    <m/>
    <m/>
    <m/>
    <m/>
    <m/>
    <m/>
    <m/>
    <m/>
    <m/>
    <m/>
    <m/>
    <m/>
    <m/>
    <n v="-12.537320418887573"/>
    <m/>
    <m/>
    <m/>
    <m/>
    <m/>
    <m/>
    <m/>
    <m/>
    <m/>
  </r>
  <r>
    <x v="23"/>
    <x v="5"/>
    <m/>
    <m/>
    <m/>
    <m/>
    <m/>
    <m/>
    <m/>
    <m/>
    <m/>
    <m/>
    <m/>
    <m/>
    <m/>
    <n v="-12.537320418887573"/>
    <m/>
    <m/>
    <m/>
    <m/>
    <m/>
    <m/>
    <m/>
    <m/>
    <m/>
  </r>
  <r>
    <x v="23"/>
    <x v="6"/>
    <m/>
    <m/>
    <m/>
    <m/>
    <m/>
    <m/>
    <m/>
    <m/>
    <m/>
    <m/>
    <m/>
    <m/>
    <m/>
    <n v="-12.537320418887573"/>
    <m/>
    <m/>
    <m/>
    <m/>
    <m/>
    <m/>
    <m/>
    <m/>
    <m/>
  </r>
  <r>
    <x v="23"/>
    <x v="7"/>
    <m/>
    <m/>
    <m/>
    <m/>
    <m/>
    <m/>
    <m/>
    <m/>
    <m/>
    <m/>
    <m/>
    <m/>
    <m/>
    <n v="16.847128870141944"/>
    <m/>
    <m/>
    <m/>
    <m/>
    <m/>
    <m/>
    <m/>
    <m/>
    <m/>
  </r>
  <r>
    <x v="24"/>
    <x v="0"/>
    <m/>
    <m/>
    <m/>
    <m/>
    <m/>
    <m/>
    <m/>
    <m/>
    <m/>
    <m/>
    <m/>
    <m/>
    <m/>
    <n v="41.941348033957382"/>
    <m/>
    <m/>
    <m/>
    <m/>
    <m/>
    <m/>
    <m/>
    <m/>
    <m/>
  </r>
  <r>
    <x v="24"/>
    <x v="1"/>
    <m/>
    <m/>
    <m/>
    <m/>
    <m/>
    <m/>
    <m/>
    <m/>
    <m/>
    <m/>
    <m/>
    <m/>
    <m/>
    <n v="25.741132791378664"/>
    <m/>
    <m/>
    <m/>
    <m/>
    <m/>
    <m/>
    <m/>
    <m/>
    <m/>
  </r>
  <r>
    <x v="24"/>
    <x v="2"/>
    <m/>
    <m/>
    <m/>
    <m/>
    <m/>
    <m/>
    <m/>
    <m/>
    <m/>
    <m/>
    <m/>
    <m/>
    <m/>
    <n v="0"/>
    <m/>
    <m/>
    <m/>
    <m/>
    <m/>
    <m/>
    <m/>
    <m/>
    <m/>
  </r>
  <r>
    <x v="24"/>
    <x v="3"/>
    <m/>
    <m/>
    <m/>
    <m/>
    <m/>
    <m/>
    <m/>
    <m/>
    <m/>
    <m/>
    <m/>
    <m/>
    <m/>
    <n v="0"/>
    <m/>
    <m/>
    <m/>
    <m/>
    <m/>
    <m/>
    <m/>
    <m/>
    <m/>
  </r>
  <r>
    <x v="24"/>
    <x v="4"/>
    <m/>
    <m/>
    <m/>
    <m/>
    <m/>
    <m/>
    <m/>
    <m/>
    <m/>
    <m/>
    <m/>
    <m/>
    <m/>
    <n v="-17.39231922661984"/>
    <m/>
    <m/>
    <m/>
    <m/>
    <m/>
    <m/>
    <m/>
    <m/>
    <m/>
  </r>
  <r>
    <x v="24"/>
    <x v="5"/>
    <m/>
    <m/>
    <m/>
    <m/>
    <m/>
    <m/>
    <m/>
    <m/>
    <m/>
    <m/>
    <m/>
    <m/>
    <m/>
    <n v="-17.39231922661984"/>
    <m/>
    <m/>
    <m/>
    <m/>
    <m/>
    <m/>
    <m/>
    <m/>
    <m/>
  </r>
  <r>
    <x v="24"/>
    <x v="6"/>
    <m/>
    <m/>
    <m/>
    <m/>
    <m/>
    <m/>
    <m/>
    <m/>
    <m/>
    <m/>
    <m/>
    <m/>
    <m/>
    <n v="-17.39231922661984"/>
    <m/>
    <m/>
    <m/>
    <m/>
    <m/>
    <m/>
    <m/>
    <m/>
    <m/>
  </r>
  <r>
    <x v="24"/>
    <x v="7"/>
    <m/>
    <m/>
    <m/>
    <m/>
    <m/>
    <m/>
    <m/>
    <m/>
    <m/>
    <m/>
    <m/>
    <m/>
    <m/>
    <n v="15.505523145476523"/>
    <m/>
    <m/>
    <m/>
    <m/>
    <m/>
    <m/>
    <m/>
    <m/>
    <m/>
  </r>
  <r>
    <x v="25"/>
    <x v="0"/>
    <m/>
    <m/>
    <m/>
    <m/>
    <m/>
    <m/>
    <m/>
    <m/>
    <m/>
    <m/>
    <m/>
    <m/>
    <m/>
    <n v="27.456809181798583"/>
    <m/>
    <m/>
    <m/>
    <m/>
    <m/>
    <m/>
    <m/>
    <m/>
    <m/>
  </r>
  <r>
    <x v="25"/>
    <x v="1"/>
    <m/>
    <m/>
    <m/>
    <m/>
    <m/>
    <m/>
    <m/>
    <m/>
    <m/>
    <m/>
    <m/>
    <m/>
    <m/>
    <n v="18.778505276250804"/>
    <m/>
    <m/>
    <m/>
    <m/>
    <m/>
    <m/>
    <m/>
    <m/>
    <m/>
  </r>
  <r>
    <x v="25"/>
    <x v="2"/>
    <m/>
    <m/>
    <m/>
    <m/>
    <m/>
    <m/>
    <m/>
    <m/>
    <m/>
    <m/>
    <m/>
    <m/>
    <m/>
    <n v="0"/>
    <m/>
    <m/>
    <m/>
    <m/>
    <m/>
    <m/>
    <m/>
    <m/>
    <m/>
  </r>
  <r>
    <x v="25"/>
    <x v="3"/>
    <m/>
    <m/>
    <m/>
    <m/>
    <m/>
    <m/>
    <m/>
    <m/>
    <m/>
    <m/>
    <m/>
    <m/>
    <m/>
    <n v="0"/>
    <m/>
    <m/>
    <m/>
    <m/>
    <m/>
    <m/>
    <m/>
    <m/>
    <m/>
  </r>
  <r>
    <x v="25"/>
    <x v="4"/>
    <m/>
    <m/>
    <m/>
    <m/>
    <m/>
    <m/>
    <m/>
    <m/>
    <m/>
    <m/>
    <m/>
    <m/>
    <m/>
    <n v="-11.625198222557247"/>
    <m/>
    <m/>
    <m/>
    <m/>
    <m/>
    <m/>
    <m/>
    <m/>
    <m/>
  </r>
  <r>
    <x v="25"/>
    <x v="5"/>
    <m/>
    <m/>
    <m/>
    <m/>
    <m/>
    <m/>
    <m/>
    <m/>
    <m/>
    <m/>
    <m/>
    <m/>
    <m/>
    <n v="-11.625198222557247"/>
    <m/>
    <m/>
    <m/>
    <m/>
    <m/>
    <m/>
    <m/>
    <m/>
    <m/>
  </r>
  <r>
    <x v="25"/>
    <x v="6"/>
    <m/>
    <m/>
    <m/>
    <m/>
    <m/>
    <m/>
    <m/>
    <m/>
    <m/>
    <m/>
    <m/>
    <m/>
    <m/>
    <n v="-11.625198222557247"/>
    <m/>
    <m/>
    <m/>
    <m/>
    <m/>
    <m/>
    <m/>
    <m/>
    <m/>
  </r>
  <r>
    <x v="25"/>
    <x v="7"/>
    <m/>
    <m/>
    <m/>
    <m/>
    <m/>
    <m/>
    <m/>
    <m/>
    <m/>
    <m/>
    <m/>
    <m/>
    <m/>
    <n v="11.359719790377651"/>
    <m/>
    <m/>
    <m/>
    <m/>
    <m/>
    <m/>
    <m/>
    <m/>
    <m/>
  </r>
  <r>
    <x v="26"/>
    <x v="0"/>
    <m/>
    <m/>
    <m/>
    <m/>
    <m/>
    <m/>
    <m/>
    <m/>
    <m/>
    <m/>
    <m/>
    <m/>
    <m/>
    <n v="22.179817273706053"/>
    <m/>
    <m/>
    <m/>
    <m/>
    <m/>
    <m/>
    <m/>
    <m/>
    <m/>
  </r>
  <r>
    <x v="26"/>
    <x v="1"/>
    <m/>
    <m/>
    <m/>
    <m/>
    <m/>
    <m/>
    <m/>
    <m/>
    <m/>
    <m/>
    <m/>
    <m/>
    <m/>
    <n v="10.397017710923844"/>
    <m/>
    <m/>
    <m/>
    <m/>
    <m/>
    <m/>
    <m/>
    <m/>
    <m/>
  </r>
  <r>
    <x v="26"/>
    <x v="2"/>
    <m/>
    <m/>
    <m/>
    <m/>
    <m/>
    <m/>
    <m/>
    <m/>
    <m/>
    <m/>
    <m/>
    <m/>
    <m/>
    <n v="0"/>
    <m/>
    <m/>
    <m/>
    <m/>
    <m/>
    <m/>
    <m/>
    <m/>
    <m/>
  </r>
  <r>
    <x v="26"/>
    <x v="3"/>
    <m/>
    <m/>
    <m/>
    <m/>
    <m/>
    <m/>
    <m/>
    <m/>
    <m/>
    <m/>
    <m/>
    <m/>
    <m/>
    <n v="0"/>
    <m/>
    <m/>
    <m/>
    <m/>
    <m/>
    <m/>
    <m/>
    <m/>
    <m/>
  </r>
  <r>
    <x v="26"/>
    <x v="4"/>
    <m/>
    <m/>
    <m/>
    <m/>
    <m/>
    <m/>
    <m/>
    <m/>
    <m/>
    <m/>
    <m/>
    <m/>
    <m/>
    <n v="-8.798175884247506"/>
    <m/>
    <m/>
    <m/>
    <m/>
    <m/>
    <m/>
    <m/>
    <m/>
    <m/>
  </r>
  <r>
    <x v="26"/>
    <x v="5"/>
    <m/>
    <m/>
    <m/>
    <m/>
    <m/>
    <m/>
    <m/>
    <m/>
    <m/>
    <m/>
    <m/>
    <m/>
    <m/>
    <n v="-8.798175884247506"/>
    <m/>
    <m/>
    <m/>
    <m/>
    <m/>
    <m/>
    <m/>
    <m/>
    <m/>
  </r>
  <r>
    <x v="26"/>
    <x v="6"/>
    <m/>
    <m/>
    <m/>
    <m/>
    <m/>
    <m/>
    <m/>
    <m/>
    <m/>
    <m/>
    <m/>
    <m/>
    <m/>
    <n v="-8.798175884247506"/>
    <m/>
    <m/>
    <m/>
    <m/>
    <m/>
    <m/>
    <m/>
    <m/>
    <m/>
  </r>
  <r>
    <x v="26"/>
    <x v="7"/>
    <m/>
    <m/>
    <m/>
    <m/>
    <m/>
    <m/>
    <m/>
    <m/>
    <m/>
    <m/>
    <m/>
    <m/>
    <m/>
    <n v="6.1823073318873796"/>
    <m/>
    <m/>
    <m/>
    <m/>
    <m/>
    <m/>
    <m/>
    <m/>
    <m/>
  </r>
  <r>
    <x v="27"/>
    <x v="0"/>
    <m/>
    <m/>
    <m/>
    <m/>
    <m/>
    <m/>
    <m/>
    <m/>
    <m/>
    <m/>
    <m/>
    <m/>
    <m/>
    <n v="36.705552044142443"/>
    <m/>
    <m/>
    <m/>
    <m/>
    <m/>
    <m/>
    <m/>
    <m/>
    <m/>
  </r>
  <r>
    <x v="27"/>
    <x v="1"/>
    <m/>
    <m/>
    <m/>
    <m/>
    <m/>
    <m/>
    <m/>
    <m/>
    <m/>
    <m/>
    <m/>
    <m/>
    <m/>
    <n v="22.163543531743493"/>
    <m/>
    <m/>
    <m/>
    <m/>
    <m/>
    <m/>
    <m/>
    <m/>
    <m/>
  </r>
  <r>
    <x v="27"/>
    <x v="2"/>
    <m/>
    <m/>
    <m/>
    <m/>
    <m/>
    <m/>
    <m/>
    <m/>
    <m/>
    <m/>
    <m/>
    <m/>
    <m/>
    <n v="0"/>
    <m/>
    <m/>
    <m/>
    <m/>
    <m/>
    <m/>
    <m/>
    <m/>
    <m/>
  </r>
  <r>
    <x v="27"/>
    <x v="3"/>
    <m/>
    <m/>
    <m/>
    <m/>
    <m/>
    <m/>
    <m/>
    <m/>
    <m/>
    <m/>
    <m/>
    <m/>
    <m/>
    <n v="0"/>
    <m/>
    <m/>
    <m/>
    <m/>
    <m/>
    <m/>
    <m/>
    <m/>
    <m/>
  </r>
  <r>
    <x v="27"/>
    <x v="4"/>
    <m/>
    <m/>
    <m/>
    <m/>
    <m/>
    <m/>
    <m/>
    <m/>
    <m/>
    <m/>
    <m/>
    <m/>
    <m/>
    <n v="-15.204301777030311"/>
    <m/>
    <m/>
    <m/>
    <m/>
    <m/>
    <m/>
    <m/>
    <m/>
    <m/>
  </r>
  <r>
    <x v="27"/>
    <x v="5"/>
    <m/>
    <m/>
    <m/>
    <m/>
    <m/>
    <m/>
    <m/>
    <m/>
    <m/>
    <m/>
    <m/>
    <m/>
    <m/>
    <n v="-15.204301777030311"/>
    <m/>
    <m/>
    <m/>
    <m/>
    <m/>
    <m/>
    <m/>
    <m/>
    <m/>
  </r>
  <r>
    <x v="27"/>
    <x v="6"/>
    <m/>
    <m/>
    <m/>
    <m/>
    <m/>
    <m/>
    <m/>
    <m/>
    <m/>
    <m/>
    <m/>
    <m/>
    <m/>
    <n v="-15.204301777030311"/>
    <m/>
    <m/>
    <m/>
    <m/>
    <m/>
    <m/>
    <m/>
    <m/>
    <m/>
  </r>
  <r>
    <x v="27"/>
    <x v="7"/>
    <m/>
    <m/>
    <m/>
    <m/>
    <m/>
    <m/>
    <m/>
    <m/>
    <m/>
    <m/>
    <m/>
    <m/>
    <m/>
    <n v="13.256190244795006"/>
    <m/>
    <m/>
    <m/>
    <m/>
    <m/>
    <m/>
    <m/>
    <m/>
    <m/>
  </r>
  <r>
    <x v="0"/>
    <x v="0"/>
    <m/>
    <m/>
    <m/>
    <m/>
    <m/>
    <m/>
    <m/>
    <m/>
    <m/>
    <m/>
    <m/>
    <m/>
    <m/>
    <m/>
    <m/>
    <m/>
    <n v="286.25792740863062"/>
    <m/>
    <m/>
    <m/>
    <m/>
    <m/>
    <m/>
  </r>
  <r>
    <x v="0"/>
    <x v="1"/>
    <m/>
    <m/>
    <m/>
    <m/>
    <m/>
    <m/>
    <m/>
    <m/>
    <m/>
    <m/>
    <m/>
    <m/>
    <m/>
    <m/>
    <m/>
    <m/>
    <n v="293.56840615833681"/>
    <m/>
    <m/>
    <m/>
    <m/>
    <m/>
    <m/>
  </r>
  <r>
    <x v="0"/>
    <x v="2"/>
    <m/>
    <m/>
    <m/>
    <m/>
    <m/>
    <m/>
    <m/>
    <m/>
    <m/>
    <m/>
    <m/>
    <m/>
    <m/>
    <m/>
    <m/>
    <m/>
    <n v="613.57064022192276"/>
    <m/>
    <m/>
    <m/>
    <m/>
    <m/>
    <m/>
  </r>
  <r>
    <x v="0"/>
    <x v="3"/>
    <m/>
    <m/>
    <m/>
    <m/>
    <m/>
    <m/>
    <m/>
    <m/>
    <m/>
    <m/>
    <m/>
    <m/>
    <m/>
    <m/>
    <m/>
    <m/>
    <n v="827.33187662445823"/>
    <m/>
    <m/>
    <m/>
    <m/>
    <m/>
    <m/>
  </r>
  <r>
    <x v="0"/>
    <x v="4"/>
    <m/>
    <m/>
    <m/>
    <m/>
    <m/>
    <m/>
    <m/>
    <m/>
    <m/>
    <m/>
    <m/>
    <m/>
    <m/>
    <m/>
    <m/>
    <m/>
    <n v="696.66466476300354"/>
    <m/>
    <m/>
    <m/>
    <m/>
    <m/>
    <m/>
  </r>
  <r>
    <x v="0"/>
    <x v="5"/>
    <m/>
    <m/>
    <m/>
    <m/>
    <m/>
    <m/>
    <m/>
    <m/>
    <m/>
    <m/>
    <m/>
    <m/>
    <m/>
    <m/>
    <m/>
    <m/>
    <n v="779.05776704785626"/>
    <m/>
    <m/>
    <m/>
    <m/>
    <m/>
    <m/>
  </r>
  <r>
    <x v="0"/>
    <x v="6"/>
    <m/>
    <m/>
    <m/>
    <m/>
    <m/>
    <m/>
    <m/>
    <m/>
    <m/>
    <m/>
    <m/>
    <m/>
    <m/>
    <m/>
    <m/>
    <m/>
    <n v="533.79499097492806"/>
    <m/>
    <m/>
    <m/>
    <m/>
    <m/>
    <m/>
  </r>
  <r>
    <x v="1"/>
    <x v="0"/>
    <m/>
    <m/>
    <m/>
    <m/>
    <m/>
    <m/>
    <m/>
    <m/>
    <m/>
    <m/>
    <m/>
    <m/>
    <m/>
    <m/>
    <m/>
    <m/>
    <n v="296.34980839891529"/>
    <m/>
    <m/>
    <m/>
    <m/>
    <m/>
    <m/>
  </r>
  <r>
    <x v="1"/>
    <x v="1"/>
    <m/>
    <m/>
    <m/>
    <m/>
    <m/>
    <m/>
    <m/>
    <m/>
    <m/>
    <m/>
    <m/>
    <m/>
    <m/>
    <m/>
    <m/>
    <m/>
    <n v="311.83476128729768"/>
    <m/>
    <m/>
    <m/>
    <m/>
    <m/>
    <m/>
  </r>
  <r>
    <x v="1"/>
    <x v="2"/>
    <m/>
    <m/>
    <m/>
    <m/>
    <m/>
    <m/>
    <m/>
    <m/>
    <m/>
    <m/>
    <m/>
    <m/>
    <m/>
    <m/>
    <m/>
    <m/>
    <n v="631.48415305274636"/>
    <m/>
    <m/>
    <m/>
    <m/>
    <m/>
    <m/>
  </r>
  <r>
    <x v="1"/>
    <x v="3"/>
    <m/>
    <m/>
    <m/>
    <m/>
    <m/>
    <m/>
    <m/>
    <m/>
    <m/>
    <m/>
    <m/>
    <m/>
    <m/>
    <m/>
    <m/>
    <m/>
    <n v="858.93197884910353"/>
    <m/>
    <m/>
    <m/>
    <m/>
    <m/>
    <m/>
  </r>
  <r>
    <x v="1"/>
    <x v="4"/>
    <m/>
    <m/>
    <m/>
    <m/>
    <m/>
    <m/>
    <m/>
    <m/>
    <m/>
    <m/>
    <m/>
    <m/>
    <m/>
    <m/>
    <m/>
    <m/>
    <n v="720.52039780238727"/>
    <m/>
    <m/>
    <m/>
    <m/>
    <m/>
    <m/>
  </r>
  <r>
    <x v="1"/>
    <x v="5"/>
    <m/>
    <m/>
    <m/>
    <m/>
    <m/>
    <m/>
    <m/>
    <m/>
    <m/>
    <m/>
    <m/>
    <m/>
    <m/>
    <m/>
    <m/>
    <m/>
    <n v="808.61911757571954"/>
    <m/>
    <m/>
    <m/>
    <m/>
    <m/>
    <m/>
  </r>
  <r>
    <x v="1"/>
    <x v="6"/>
    <m/>
    <m/>
    <m/>
    <m/>
    <m/>
    <m/>
    <m/>
    <m/>
    <m/>
    <m/>
    <m/>
    <m/>
    <m/>
    <m/>
    <m/>
    <m/>
    <n v="548.86761000400077"/>
    <m/>
    <m/>
    <m/>
    <m/>
    <m/>
    <m/>
  </r>
  <r>
    <x v="2"/>
    <x v="0"/>
    <m/>
    <m/>
    <m/>
    <m/>
    <m/>
    <m/>
    <m/>
    <m/>
    <m/>
    <m/>
    <m/>
    <m/>
    <m/>
    <m/>
    <m/>
    <m/>
    <n v="57.208624120990599"/>
    <m/>
    <m/>
    <m/>
    <m/>
    <m/>
    <m/>
  </r>
  <r>
    <x v="2"/>
    <x v="1"/>
    <m/>
    <m/>
    <m/>
    <m/>
    <m/>
    <m/>
    <m/>
    <m/>
    <m/>
    <m/>
    <m/>
    <m/>
    <m/>
    <m/>
    <m/>
    <m/>
    <n v="83.793127072963046"/>
    <m/>
    <m/>
    <m/>
    <m/>
    <m/>
    <m/>
  </r>
  <r>
    <x v="2"/>
    <x v="2"/>
    <m/>
    <m/>
    <m/>
    <m/>
    <m/>
    <m/>
    <m/>
    <m/>
    <m/>
    <m/>
    <m/>
    <m/>
    <m/>
    <m/>
    <m/>
    <m/>
    <n v="110.82432899110152"/>
    <m/>
    <m/>
    <m/>
    <m/>
    <m/>
    <m/>
  </r>
  <r>
    <x v="2"/>
    <x v="3"/>
    <m/>
    <m/>
    <m/>
    <m/>
    <m/>
    <m/>
    <m/>
    <m/>
    <m/>
    <m/>
    <m/>
    <m/>
    <m/>
    <m/>
    <m/>
    <m/>
    <n v="173.06301740623312"/>
    <m/>
    <m/>
    <m/>
    <m/>
    <m/>
    <m/>
  </r>
  <r>
    <x v="2"/>
    <x v="4"/>
    <m/>
    <m/>
    <m/>
    <m/>
    <m/>
    <m/>
    <m/>
    <m/>
    <m/>
    <m/>
    <m/>
    <m/>
    <m/>
    <m/>
    <m/>
    <m/>
    <n v="136.9916147914673"/>
    <m/>
    <m/>
    <m/>
    <m/>
    <m/>
    <m/>
  </r>
  <r>
    <x v="2"/>
    <x v="5"/>
    <m/>
    <m/>
    <m/>
    <m/>
    <m/>
    <m/>
    <m/>
    <m/>
    <m/>
    <m/>
    <m/>
    <m/>
    <m/>
    <m/>
    <m/>
    <m/>
    <n v="162.34638970914702"/>
    <m/>
    <m/>
    <m/>
    <m/>
    <m/>
    <m/>
  </r>
  <r>
    <x v="2"/>
    <x v="6"/>
    <m/>
    <m/>
    <m/>
    <m/>
    <m/>
    <m/>
    <m/>
    <m/>
    <m/>
    <m/>
    <m/>
    <m/>
    <m/>
    <m/>
    <m/>
    <m/>
    <n v="94.790909224228415"/>
    <m/>
    <m/>
    <m/>
    <m/>
    <m/>
    <m/>
  </r>
  <r>
    <x v="3"/>
    <x v="0"/>
    <m/>
    <m/>
    <m/>
    <m/>
    <m/>
    <m/>
    <m/>
    <m/>
    <m/>
    <m/>
    <m/>
    <m/>
    <m/>
    <m/>
    <m/>
    <m/>
    <n v="119.01184004364676"/>
    <m/>
    <m/>
    <m/>
    <m/>
    <m/>
    <m/>
  </r>
  <r>
    <x v="3"/>
    <x v="1"/>
    <m/>
    <m/>
    <m/>
    <m/>
    <m/>
    <m/>
    <m/>
    <m/>
    <m/>
    <m/>
    <m/>
    <m/>
    <m/>
    <m/>
    <m/>
    <m/>
    <n v="151.36973008855969"/>
    <m/>
    <m/>
    <m/>
    <m/>
    <m/>
    <m/>
  </r>
  <r>
    <x v="3"/>
    <x v="2"/>
    <m/>
    <m/>
    <m/>
    <m/>
    <m/>
    <m/>
    <m/>
    <m/>
    <m/>
    <m/>
    <m/>
    <m/>
    <m/>
    <m/>
    <m/>
    <m/>
    <n v="241.32455863123019"/>
    <m/>
    <m/>
    <m/>
    <m/>
    <m/>
    <m/>
  </r>
  <r>
    <x v="3"/>
    <x v="3"/>
    <m/>
    <m/>
    <m/>
    <m/>
    <m/>
    <m/>
    <m/>
    <m/>
    <m/>
    <m/>
    <m/>
    <m/>
    <m/>
    <m/>
    <m/>
    <m/>
    <n v="352.97354203910061"/>
    <m/>
    <m/>
    <m/>
    <m/>
    <m/>
    <m/>
  </r>
  <r>
    <x v="3"/>
    <x v="4"/>
    <m/>
    <m/>
    <m/>
    <m/>
    <m/>
    <m/>
    <m/>
    <m/>
    <m/>
    <m/>
    <m/>
    <m/>
    <m/>
    <m/>
    <m/>
    <m/>
    <n v="287.02834243934205"/>
    <m/>
    <m/>
    <m/>
    <m/>
    <m/>
    <m/>
  </r>
  <r>
    <x v="3"/>
    <x v="5"/>
    <m/>
    <m/>
    <m/>
    <m/>
    <m/>
    <m/>
    <m/>
    <m/>
    <m/>
    <m/>
    <m/>
    <m/>
    <m/>
    <m/>
    <m/>
    <m/>
    <n v="331.65600520918679"/>
    <m/>
    <m/>
    <m/>
    <m/>
    <m/>
    <m/>
  </r>
  <r>
    <x v="3"/>
    <x v="6"/>
    <m/>
    <m/>
    <m/>
    <m/>
    <m/>
    <m/>
    <m/>
    <m/>
    <m/>
    <m/>
    <m/>
    <m/>
    <m/>
    <m/>
    <m/>
    <m/>
    <n v="208.05246834166036"/>
    <m/>
    <m/>
    <m/>
    <m/>
    <m/>
    <m/>
  </r>
  <r>
    <x v="4"/>
    <x v="0"/>
    <m/>
    <m/>
    <m/>
    <m/>
    <m/>
    <m/>
    <m/>
    <m/>
    <m/>
    <m/>
    <m/>
    <m/>
    <m/>
    <m/>
    <m/>
    <m/>
    <n v="195.62614129434613"/>
    <m/>
    <m/>
    <m/>
    <m/>
    <m/>
    <m/>
  </r>
  <r>
    <x v="4"/>
    <x v="1"/>
    <m/>
    <m/>
    <m/>
    <m/>
    <m/>
    <m/>
    <m/>
    <m/>
    <m/>
    <m/>
    <m/>
    <m/>
    <m/>
    <m/>
    <m/>
    <m/>
    <n v="212.15622811862715"/>
    <m/>
    <m/>
    <m/>
    <m/>
    <m/>
    <m/>
  </r>
  <r>
    <x v="4"/>
    <x v="2"/>
    <m/>
    <m/>
    <m/>
    <m/>
    <m/>
    <m/>
    <m/>
    <m/>
    <m/>
    <m/>
    <m/>
    <m/>
    <m/>
    <m/>
    <m/>
    <m/>
    <n v="413.89244413156217"/>
    <m/>
    <m/>
    <m/>
    <m/>
    <m/>
    <m/>
  </r>
  <r>
    <x v="4"/>
    <x v="3"/>
    <m/>
    <m/>
    <m/>
    <m/>
    <m/>
    <m/>
    <m/>
    <m/>
    <m/>
    <m/>
    <m/>
    <m/>
    <m/>
    <m/>
    <m/>
    <m/>
    <n v="568.93591631928871"/>
    <m/>
    <m/>
    <m/>
    <m/>
    <m/>
    <m/>
  </r>
  <r>
    <x v="4"/>
    <x v="4"/>
    <m/>
    <m/>
    <m/>
    <m/>
    <m/>
    <m/>
    <m/>
    <m/>
    <m/>
    <m/>
    <m/>
    <m/>
    <m/>
    <m/>
    <m/>
    <m/>
    <n v="475.06758836927162"/>
    <m/>
    <m/>
    <m/>
    <m/>
    <m/>
    <m/>
  </r>
  <r>
    <x v="4"/>
    <x v="5"/>
    <m/>
    <m/>
    <m/>
    <m/>
    <m/>
    <m/>
    <m/>
    <m/>
    <m/>
    <m/>
    <m/>
    <m/>
    <m/>
    <m/>
    <m/>
    <m/>
    <n v="535.45501598499698"/>
    <m/>
    <m/>
    <m/>
    <m/>
    <m/>
    <m/>
  </r>
  <r>
    <x v="4"/>
    <x v="6"/>
    <m/>
    <m/>
    <m/>
    <m/>
    <m/>
    <m/>
    <m/>
    <m/>
    <m/>
    <m/>
    <m/>
    <m/>
    <m/>
    <m/>
    <m/>
    <m/>
    <n v="359.33303003426448"/>
    <m/>
    <m/>
    <m/>
    <m/>
    <m/>
    <m/>
  </r>
  <r>
    <x v="5"/>
    <x v="0"/>
    <m/>
    <m/>
    <m/>
    <m/>
    <m/>
    <m/>
    <m/>
    <m/>
    <m/>
    <m/>
    <m/>
    <m/>
    <m/>
    <m/>
    <m/>
    <m/>
    <n v="321.26225537569445"/>
    <m/>
    <m/>
    <m/>
    <m/>
    <m/>
    <m/>
  </r>
  <r>
    <x v="5"/>
    <x v="1"/>
    <m/>
    <m/>
    <m/>
    <m/>
    <m/>
    <m/>
    <m/>
    <m/>
    <m/>
    <m/>
    <m/>
    <m/>
    <m/>
    <m/>
    <m/>
    <m/>
    <n v="345.74341233062285"/>
    <m/>
    <m/>
    <m/>
    <m/>
    <m/>
    <m/>
  </r>
  <r>
    <x v="5"/>
    <x v="2"/>
    <m/>
    <m/>
    <m/>
    <m/>
    <m/>
    <m/>
    <m/>
    <m/>
    <m/>
    <m/>
    <m/>
    <m/>
    <m/>
    <m/>
    <m/>
    <m/>
    <n v="680.9562055010997"/>
    <m/>
    <m/>
    <m/>
    <m/>
    <m/>
    <m/>
  </r>
  <r>
    <x v="5"/>
    <x v="3"/>
    <m/>
    <m/>
    <m/>
    <m/>
    <m/>
    <m/>
    <m/>
    <m/>
    <m/>
    <m/>
    <m/>
    <m/>
    <m/>
    <m/>
    <m/>
    <m/>
    <n v="933.50213674075781"/>
    <m/>
    <m/>
    <m/>
    <m/>
    <m/>
    <m/>
  </r>
  <r>
    <x v="5"/>
    <x v="4"/>
    <m/>
    <m/>
    <m/>
    <m/>
    <m/>
    <m/>
    <m/>
    <m/>
    <m/>
    <m/>
    <m/>
    <m/>
    <m/>
    <m/>
    <m/>
    <m/>
    <n v="780.40541533643511"/>
    <m/>
    <m/>
    <m/>
    <m/>
    <m/>
    <m/>
  </r>
  <r>
    <x v="5"/>
    <x v="5"/>
    <m/>
    <m/>
    <m/>
    <m/>
    <m/>
    <m/>
    <m/>
    <m/>
    <m/>
    <m/>
    <m/>
    <m/>
    <m/>
    <m/>
    <m/>
    <m/>
    <n v="878.63234493279924"/>
    <m/>
    <m/>
    <m/>
    <m/>
    <m/>
    <m/>
  </r>
  <r>
    <x v="5"/>
    <x v="6"/>
    <m/>
    <m/>
    <m/>
    <m/>
    <m/>
    <m/>
    <m/>
    <m/>
    <m/>
    <m/>
    <m/>
    <m/>
    <m/>
    <m/>
    <m/>
    <m/>
    <n v="591.36691407542241"/>
    <m/>
    <m/>
    <m/>
    <m/>
    <m/>
    <m/>
  </r>
  <r>
    <x v="6"/>
    <x v="0"/>
    <m/>
    <m/>
    <m/>
    <m/>
    <m/>
    <m/>
    <m/>
    <m/>
    <m/>
    <m/>
    <m/>
    <m/>
    <m/>
    <m/>
    <m/>
    <m/>
    <n v="192.61518768439211"/>
    <m/>
    <m/>
    <m/>
    <m/>
    <m/>
    <m/>
  </r>
  <r>
    <x v="6"/>
    <x v="1"/>
    <m/>
    <m/>
    <m/>
    <m/>
    <m/>
    <m/>
    <m/>
    <m/>
    <m/>
    <m/>
    <m/>
    <m/>
    <m/>
    <m/>
    <m/>
    <m/>
    <n v="198.84730686480566"/>
    <m/>
    <m/>
    <m/>
    <m/>
    <m/>
    <m/>
  </r>
  <r>
    <x v="6"/>
    <x v="2"/>
    <m/>
    <m/>
    <m/>
    <m/>
    <m/>
    <m/>
    <m/>
    <m/>
    <m/>
    <m/>
    <m/>
    <m/>
    <m/>
    <m/>
    <m/>
    <m/>
    <n v="412.23841052553246"/>
    <m/>
    <m/>
    <m/>
    <m/>
    <m/>
    <m/>
  </r>
  <r>
    <x v="6"/>
    <x v="3"/>
    <m/>
    <m/>
    <m/>
    <m/>
    <m/>
    <m/>
    <m/>
    <m/>
    <m/>
    <m/>
    <m/>
    <m/>
    <m/>
    <m/>
    <m/>
    <m/>
    <n v="557.09269147964505"/>
    <m/>
    <m/>
    <m/>
    <m/>
    <m/>
    <m/>
  </r>
  <r>
    <x v="6"/>
    <x v="4"/>
    <m/>
    <m/>
    <m/>
    <m/>
    <m/>
    <m/>
    <m/>
    <m/>
    <m/>
    <m/>
    <m/>
    <m/>
    <m/>
    <m/>
    <m/>
    <m/>
    <n v="468.64983313608093"/>
    <m/>
    <m/>
    <m/>
    <m/>
    <m/>
    <m/>
  </r>
  <r>
    <x v="6"/>
    <x v="5"/>
    <m/>
    <m/>
    <m/>
    <m/>
    <m/>
    <m/>
    <m/>
    <m/>
    <m/>
    <m/>
    <m/>
    <m/>
    <m/>
    <m/>
    <m/>
    <m/>
    <n v="524.55447910806959"/>
    <m/>
    <m/>
    <m/>
    <m/>
    <m/>
    <m/>
  </r>
  <r>
    <x v="6"/>
    <x v="6"/>
    <m/>
    <m/>
    <m/>
    <m/>
    <m/>
    <m/>
    <m/>
    <m/>
    <m/>
    <m/>
    <m/>
    <m/>
    <m/>
    <m/>
    <m/>
    <m/>
    <n v="358.55482435757614"/>
    <m/>
    <m/>
    <m/>
    <m/>
    <m/>
    <m/>
  </r>
  <r>
    <x v="7"/>
    <x v="0"/>
    <m/>
    <m/>
    <m/>
    <m/>
    <m/>
    <m/>
    <m/>
    <m/>
    <m/>
    <m/>
    <m/>
    <m/>
    <m/>
    <m/>
    <m/>
    <m/>
    <n v="126.45219160739404"/>
    <m/>
    <m/>
    <m/>
    <m/>
    <m/>
    <m/>
  </r>
  <r>
    <x v="7"/>
    <x v="1"/>
    <m/>
    <m/>
    <m/>
    <m/>
    <m/>
    <m/>
    <m/>
    <m/>
    <m/>
    <m/>
    <m/>
    <m/>
    <m/>
    <m/>
    <m/>
    <m/>
    <n v="138.08908976725942"/>
    <m/>
    <m/>
    <m/>
    <m/>
    <m/>
    <m/>
  </r>
  <r>
    <x v="7"/>
    <x v="2"/>
    <m/>
    <m/>
    <m/>
    <m/>
    <m/>
    <m/>
    <m/>
    <m/>
    <m/>
    <m/>
    <m/>
    <m/>
    <m/>
    <m/>
    <m/>
    <m/>
    <n v="267.09192069857477"/>
    <m/>
    <m/>
    <m/>
    <m/>
    <m/>
    <m/>
  </r>
  <r>
    <x v="7"/>
    <x v="3"/>
    <m/>
    <m/>
    <m/>
    <m/>
    <m/>
    <m/>
    <m/>
    <m/>
    <m/>
    <m/>
    <m/>
    <m/>
    <m/>
    <m/>
    <m/>
    <m/>
    <n v="368.05111915135365"/>
    <m/>
    <m/>
    <m/>
    <m/>
    <m/>
    <m/>
  </r>
  <r>
    <x v="7"/>
    <x v="4"/>
    <m/>
    <m/>
    <m/>
    <m/>
    <m/>
    <m/>
    <m/>
    <m/>
    <m/>
    <m/>
    <m/>
    <m/>
    <m/>
    <m/>
    <m/>
    <m/>
    <n v="306.99761489840802"/>
    <m/>
    <m/>
    <m/>
    <m/>
    <m/>
    <m/>
  </r>
  <r>
    <x v="7"/>
    <x v="5"/>
    <m/>
    <m/>
    <m/>
    <m/>
    <m/>
    <m/>
    <m/>
    <m/>
    <m/>
    <m/>
    <m/>
    <m/>
    <m/>
    <m/>
    <m/>
    <m/>
    <n v="346.36865373242102"/>
    <m/>
    <m/>
    <m/>
    <m/>
    <m/>
    <m/>
  </r>
  <r>
    <x v="7"/>
    <x v="6"/>
    <m/>
    <m/>
    <m/>
    <m/>
    <m/>
    <m/>
    <m/>
    <m/>
    <m/>
    <m/>
    <m/>
    <m/>
    <m/>
    <m/>
    <m/>
    <m/>
    <n v="231.82144780913126"/>
    <m/>
    <m/>
    <m/>
    <m/>
    <m/>
    <m/>
  </r>
  <r>
    <x v="8"/>
    <x v="0"/>
    <m/>
    <m/>
    <m/>
    <m/>
    <m/>
    <m/>
    <m/>
    <m/>
    <m/>
    <m/>
    <m/>
    <m/>
    <m/>
    <m/>
    <m/>
    <m/>
    <n v="223.14160981079817"/>
    <m/>
    <m/>
    <m/>
    <m/>
    <m/>
    <m/>
  </r>
  <r>
    <x v="8"/>
    <x v="1"/>
    <m/>
    <m/>
    <m/>
    <m/>
    <m/>
    <m/>
    <m/>
    <m/>
    <m/>
    <m/>
    <m/>
    <m/>
    <m/>
    <m/>
    <m/>
    <m/>
    <n v="236.5411395340445"/>
    <m/>
    <m/>
    <m/>
    <m/>
    <m/>
    <m/>
  </r>
  <r>
    <x v="8"/>
    <x v="2"/>
    <m/>
    <m/>
    <m/>
    <m/>
    <m/>
    <m/>
    <m/>
    <m/>
    <m/>
    <m/>
    <m/>
    <m/>
    <m/>
    <m/>
    <m/>
    <m/>
    <n v="474.66966905484566"/>
    <m/>
    <m/>
    <m/>
    <m/>
    <m/>
    <m/>
  </r>
  <r>
    <x v="8"/>
    <x v="3"/>
    <m/>
    <m/>
    <m/>
    <m/>
    <m/>
    <m/>
    <m/>
    <m/>
    <m/>
    <m/>
    <m/>
    <m/>
    <m/>
    <m/>
    <m/>
    <m/>
    <n v="647.28207510523487"/>
    <m/>
    <m/>
    <m/>
    <m/>
    <m/>
    <m/>
  </r>
  <r>
    <x v="8"/>
    <x v="4"/>
    <m/>
    <m/>
    <m/>
    <m/>
    <m/>
    <m/>
    <m/>
    <m/>
    <m/>
    <m/>
    <m/>
    <m/>
    <m/>
    <m/>
    <m/>
    <m/>
    <n v="542.37314053709395"/>
    <m/>
    <m/>
    <m/>
    <m/>
    <m/>
    <m/>
  </r>
  <r>
    <x v="8"/>
    <x v="5"/>
    <m/>
    <m/>
    <m/>
    <m/>
    <m/>
    <m/>
    <m/>
    <m/>
    <m/>
    <m/>
    <m/>
    <m/>
    <m/>
    <m/>
    <m/>
    <m/>
    <n v="609.3241189552657"/>
    <m/>
    <m/>
    <m/>
    <m/>
    <m/>
    <m/>
  </r>
  <r>
    <x v="8"/>
    <x v="6"/>
    <m/>
    <m/>
    <m/>
    <m/>
    <m/>
    <m/>
    <m/>
    <m/>
    <m/>
    <m/>
    <m/>
    <m/>
    <m/>
    <m/>
    <m/>
    <m/>
    <n v="412.45589211552476"/>
    <m/>
    <m/>
    <m/>
    <m/>
    <m/>
    <m/>
  </r>
  <r>
    <x v="9"/>
    <x v="0"/>
    <m/>
    <m/>
    <m/>
    <m/>
    <m/>
    <m/>
    <m/>
    <m/>
    <m/>
    <m/>
    <m/>
    <m/>
    <m/>
    <m/>
    <m/>
    <m/>
    <n v="188.75517978758282"/>
    <m/>
    <m/>
    <m/>
    <m/>
    <m/>
    <m/>
  </r>
  <r>
    <x v="9"/>
    <x v="1"/>
    <m/>
    <m/>
    <m/>
    <m/>
    <m/>
    <m/>
    <m/>
    <m/>
    <m/>
    <m/>
    <m/>
    <m/>
    <m/>
    <m/>
    <m/>
    <m/>
    <n v="199.44523161950602"/>
    <m/>
    <m/>
    <m/>
    <m/>
    <m/>
    <m/>
  </r>
  <r>
    <x v="9"/>
    <x v="2"/>
    <m/>
    <m/>
    <m/>
    <m/>
    <m/>
    <m/>
    <m/>
    <m/>
    <m/>
    <m/>
    <m/>
    <m/>
    <m/>
    <m/>
    <m/>
    <m/>
    <n v="401.82511106163872"/>
    <m/>
    <m/>
    <m/>
    <m/>
    <m/>
    <m/>
  </r>
  <r>
    <x v="9"/>
    <x v="3"/>
    <m/>
    <m/>
    <m/>
    <m/>
    <m/>
    <m/>
    <m/>
    <m/>
    <m/>
    <m/>
    <m/>
    <m/>
    <m/>
    <m/>
    <m/>
    <m/>
    <n v="547.33692185937127"/>
    <m/>
    <m/>
    <m/>
    <m/>
    <m/>
    <m/>
  </r>
  <r>
    <x v="9"/>
    <x v="4"/>
    <m/>
    <m/>
    <m/>
    <m/>
    <m/>
    <m/>
    <m/>
    <m/>
    <m/>
    <m/>
    <m/>
    <m/>
    <m/>
    <m/>
    <m/>
    <m/>
    <n v="458.8500795346423"/>
    <m/>
    <m/>
    <m/>
    <m/>
    <m/>
    <m/>
  </r>
  <r>
    <x v="9"/>
    <x v="5"/>
    <m/>
    <m/>
    <m/>
    <m/>
    <m/>
    <m/>
    <m/>
    <m/>
    <m/>
    <m/>
    <m/>
    <m/>
    <m/>
    <m/>
    <m/>
    <m/>
    <n v="515.25576769106226"/>
    <m/>
    <m/>
    <m/>
    <m/>
    <m/>
    <m/>
  </r>
  <r>
    <x v="9"/>
    <x v="6"/>
    <m/>
    <m/>
    <m/>
    <m/>
    <m/>
    <m/>
    <m/>
    <m/>
    <m/>
    <m/>
    <m/>
    <m/>
    <m/>
    <m/>
    <m/>
    <m/>
    <n v="349.20087886845738"/>
    <m/>
    <m/>
    <m/>
    <m/>
    <m/>
    <m/>
  </r>
  <r>
    <x v="10"/>
    <x v="0"/>
    <m/>
    <m/>
    <m/>
    <m/>
    <m/>
    <m/>
    <m/>
    <m/>
    <m/>
    <m/>
    <m/>
    <m/>
    <m/>
    <m/>
    <m/>
    <m/>
    <n v="231.66711759066766"/>
    <m/>
    <m/>
    <m/>
    <m/>
    <m/>
    <m/>
  </r>
  <r>
    <x v="10"/>
    <x v="1"/>
    <m/>
    <m/>
    <m/>
    <m/>
    <m/>
    <m/>
    <m/>
    <m/>
    <m/>
    <m/>
    <m/>
    <m/>
    <m/>
    <m/>
    <m/>
    <m/>
    <n v="237.79566323639114"/>
    <m/>
    <m/>
    <m/>
    <m/>
    <m/>
    <m/>
  </r>
  <r>
    <x v="10"/>
    <x v="2"/>
    <m/>
    <m/>
    <m/>
    <m/>
    <m/>
    <m/>
    <m/>
    <m/>
    <m/>
    <m/>
    <m/>
    <m/>
    <m/>
    <m/>
    <m/>
    <m/>
    <n v="496.46001676687354"/>
    <m/>
    <m/>
    <m/>
    <m/>
    <m/>
    <m/>
  </r>
  <r>
    <x v="10"/>
    <x v="3"/>
    <m/>
    <m/>
    <m/>
    <m/>
    <m/>
    <m/>
    <m/>
    <m/>
    <m/>
    <m/>
    <m/>
    <m/>
    <m/>
    <m/>
    <m/>
    <m/>
    <n v="669.62079047382088"/>
    <m/>
    <m/>
    <m/>
    <m/>
    <m/>
    <m/>
  </r>
  <r>
    <x v="10"/>
    <x v="4"/>
    <m/>
    <m/>
    <m/>
    <m/>
    <m/>
    <m/>
    <m/>
    <m/>
    <m/>
    <m/>
    <m/>
    <m/>
    <m/>
    <m/>
    <m/>
    <m/>
    <n v="563.78835655255489"/>
    <m/>
    <m/>
    <m/>
    <m/>
    <m/>
    <m/>
  </r>
  <r>
    <x v="10"/>
    <x v="5"/>
    <m/>
    <m/>
    <m/>
    <m/>
    <m/>
    <m/>
    <m/>
    <m/>
    <m/>
    <m/>
    <m/>
    <m/>
    <m/>
    <m/>
    <m/>
    <m/>
    <n v="630.54376359026651"/>
    <m/>
    <m/>
    <m/>
    <m/>
    <m/>
    <m/>
  </r>
  <r>
    <x v="10"/>
    <x v="6"/>
    <m/>
    <m/>
    <m/>
    <m/>
    <m/>
    <m/>
    <m/>
    <m/>
    <m/>
    <m/>
    <m/>
    <m/>
    <m/>
    <m/>
    <m/>
    <m/>
    <n v="431.89721799242301"/>
    <m/>
    <m/>
    <m/>
    <m/>
    <m/>
    <m/>
  </r>
  <r>
    <x v="11"/>
    <x v="0"/>
    <m/>
    <m/>
    <m/>
    <m/>
    <m/>
    <m/>
    <m/>
    <m/>
    <m/>
    <m/>
    <m/>
    <m/>
    <m/>
    <m/>
    <m/>
    <m/>
    <n v="79.411843249187839"/>
    <m/>
    <m/>
    <m/>
    <m/>
    <m/>
    <m/>
  </r>
  <r>
    <x v="11"/>
    <x v="1"/>
    <m/>
    <m/>
    <m/>
    <m/>
    <m/>
    <m/>
    <m/>
    <m/>
    <m/>
    <m/>
    <m/>
    <m/>
    <m/>
    <m/>
    <m/>
    <m/>
    <n v="106.56981678171168"/>
    <m/>
    <m/>
    <m/>
    <m/>
    <m/>
    <m/>
  </r>
  <r>
    <x v="11"/>
    <x v="2"/>
    <m/>
    <m/>
    <m/>
    <m/>
    <m/>
    <m/>
    <m/>
    <m/>
    <m/>
    <m/>
    <m/>
    <m/>
    <m/>
    <m/>
    <m/>
    <m/>
    <n v="158.41210208207053"/>
    <m/>
    <m/>
    <m/>
    <m/>
    <m/>
    <m/>
  </r>
  <r>
    <x v="11"/>
    <x v="3"/>
    <m/>
    <m/>
    <m/>
    <m/>
    <m/>
    <m/>
    <m/>
    <m/>
    <m/>
    <m/>
    <m/>
    <m/>
    <m/>
    <m/>
    <m/>
    <m/>
    <n v="237.2359047944924"/>
    <m/>
    <m/>
    <m/>
    <m/>
    <m/>
    <m/>
  </r>
  <r>
    <x v="11"/>
    <x v="4"/>
    <m/>
    <m/>
    <m/>
    <m/>
    <m/>
    <m/>
    <m/>
    <m/>
    <m/>
    <m/>
    <m/>
    <m/>
    <m/>
    <m/>
    <m/>
    <m/>
    <n v="191.0269183650698"/>
    <m/>
    <m/>
    <m/>
    <m/>
    <m/>
    <m/>
  </r>
  <r>
    <x v="11"/>
    <x v="5"/>
    <m/>
    <m/>
    <m/>
    <m/>
    <m/>
    <m/>
    <m/>
    <m/>
    <m/>
    <m/>
    <m/>
    <m/>
    <m/>
    <m/>
    <m/>
    <m/>
    <n v="222.77468520857863"/>
    <m/>
    <m/>
    <m/>
    <m/>
    <m/>
    <m/>
  </r>
  <r>
    <x v="11"/>
    <x v="6"/>
    <m/>
    <m/>
    <m/>
    <m/>
    <m/>
    <m/>
    <m/>
    <m/>
    <m/>
    <m/>
    <m/>
    <m/>
    <m/>
    <m/>
    <m/>
    <m/>
    <n v="136.19096600070347"/>
    <m/>
    <m/>
    <m/>
    <m/>
    <m/>
    <m/>
  </r>
  <r>
    <x v="12"/>
    <x v="0"/>
    <m/>
    <m/>
    <m/>
    <m/>
    <m/>
    <m/>
    <m/>
    <m/>
    <m/>
    <m/>
    <m/>
    <m/>
    <m/>
    <m/>
    <m/>
    <m/>
    <n v="143.21130748611156"/>
    <m/>
    <m/>
    <m/>
    <m/>
    <m/>
    <m/>
  </r>
  <r>
    <x v="12"/>
    <x v="1"/>
    <m/>
    <m/>
    <m/>
    <m/>
    <m/>
    <m/>
    <m/>
    <m/>
    <m/>
    <m/>
    <m/>
    <m/>
    <m/>
    <m/>
    <m/>
    <m/>
    <n v="173.74843899317392"/>
    <m/>
    <m/>
    <m/>
    <m/>
    <m/>
    <m/>
  </r>
  <r>
    <x v="12"/>
    <x v="2"/>
    <m/>
    <m/>
    <m/>
    <m/>
    <m/>
    <m/>
    <m/>
    <m/>
    <m/>
    <m/>
    <m/>
    <m/>
    <m/>
    <m/>
    <m/>
    <m/>
    <n v="294.33937085323635"/>
    <m/>
    <m/>
    <m/>
    <m/>
    <m/>
    <m/>
  </r>
  <r>
    <x v="12"/>
    <x v="3"/>
    <m/>
    <m/>
    <m/>
    <m/>
    <m/>
    <m/>
    <m/>
    <m/>
    <m/>
    <m/>
    <m/>
    <m/>
    <m/>
    <m/>
    <m/>
    <m/>
    <n v="422.16446371986456"/>
    <m/>
    <m/>
    <m/>
    <m/>
    <m/>
    <m/>
  </r>
  <r>
    <x v="12"/>
    <x v="4"/>
    <m/>
    <m/>
    <m/>
    <m/>
    <m/>
    <m/>
    <m/>
    <m/>
    <m/>
    <m/>
    <m/>
    <m/>
    <m/>
    <m/>
    <m/>
    <m/>
    <n v="346.13960551773749"/>
    <m/>
    <m/>
    <m/>
    <m/>
    <m/>
    <m/>
  </r>
  <r>
    <x v="12"/>
    <x v="5"/>
    <m/>
    <m/>
    <m/>
    <m/>
    <m/>
    <m/>
    <m/>
    <m/>
    <m/>
    <m/>
    <m/>
    <m/>
    <m/>
    <m/>
    <m/>
    <m/>
    <n v="396.86973876758304"/>
    <m/>
    <m/>
    <m/>
    <m/>
    <m/>
    <m/>
  </r>
  <r>
    <x v="12"/>
    <x v="6"/>
    <m/>
    <m/>
    <m/>
    <m/>
    <m/>
    <m/>
    <m/>
    <m/>
    <m/>
    <m/>
    <m/>
    <m/>
    <m/>
    <m/>
    <m/>
    <m/>
    <n v="254.33202581007043"/>
    <m/>
    <m/>
    <m/>
    <m/>
    <m/>
    <m/>
  </r>
  <r>
    <x v="13"/>
    <x v="0"/>
    <m/>
    <m/>
    <m/>
    <m/>
    <m/>
    <m/>
    <m/>
    <m/>
    <m/>
    <m/>
    <m/>
    <m/>
    <m/>
    <m/>
    <m/>
    <m/>
    <n v="253.45917588414778"/>
    <m/>
    <m/>
    <m/>
    <m/>
    <m/>
    <m/>
  </r>
  <r>
    <x v="13"/>
    <x v="1"/>
    <m/>
    <m/>
    <m/>
    <m/>
    <m/>
    <m/>
    <m/>
    <m/>
    <m/>
    <m/>
    <m/>
    <m/>
    <m/>
    <m/>
    <m/>
    <m/>
    <n v="266.69815546118883"/>
    <m/>
    <m/>
    <m/>
    <m/>
    <m/>
    <m/>
  </r>
  <r>
    <x v="13"/>
    <x v="2"/>
    <m/>
    <m/>
    <m/>
    <m/>
    <m/>
    <m/>
    <m/>
    <m/>
    <m/>
    <m/>
    <m/>
    <m/>
    <m/>
    <m/>
    <m/>
    <m/>
    <n v="540.09188475512508"/>
    <m/>
    <m/>
    <m/>
    <m/>
    <m/>
    <m/>
  </r>
  <r>
    <x v="13"/>
    <x v="3"/>
    <m/>
    <m/>
    <m/>
    <m/>
    <m/>
    <m/>
    <m/>
    <m/>
    <m/>
    <m/>
    <m/>
    <m/>
    <m/>
    <m/>
    <m/>
    <m/>
    <n v="734.61748426270378"/>
    <m/>
    <m/>
    <m/>
    <m/>
    <m/>
    <m/>
  </r>
  <r>
    <x v="13"/>
    <x v="4"/>
    <m/>
    <m/>
    <m/>
    <m/>
    <m/>
    <m/>
    <m/>
    <m/>
    <m/>
    <m/>
    <m/>
    <m/>
    <m/>
    <m/>
    <m/>
    <m/>
    <n v="616.24009450643905"/>
    <m/>
    <m/>
    <m/>
    <m/>
    <m/>
    <m/>
  </r>
  <r>
    <x v="13"/>
    <x v="5"/>
    <m/>
    <m/>
    <m/>
    <m/>
    <m/>
    <m/>
    <m/>
    <m/>
    <m/>
    <m/>
    <m/>
    <m/>
    <m/>
    <m/>
    <m/>
    <m/>
    <n v="691.58659657631233"/>
    <m/>
    <m/>
    <m/>
    <m/>
    <m/>
    <m/>
  </r>
  <r>
    <x v="13"/>
    <x v="6"/>
    <m/>
    <m/>
    <m/>
    <m/>
    <m/>
    <m/>
    <m/>
    <m/>
    <m/>
    <m/>
    <m/>
    <m/>
    <m/>
    <m/>
    <m/>
    <m/>
    <n v="469.43243039122768"/>
    <m/>
    <m/>
    <m/>
    <m/>
    <m/>
    <m/>
  </r>
  <r>
    <x v="14"/>
    <x v="0"/>
    <m/>
    <m/>
    <m/>
    <m/>
    <m/>
    <m/>
    <m/>
    <m/>
    <m/>
    <m/>
    <m/>
    <m/>
    <m/>
    <m/>
    <m/>
    <m/>
    <n v="164.10137776111569"/>
    <m/>
    <m/>
    <m/>
    <m/>
    <m/>
    <m/>
  </r>
  <r>
    <x v="14"/>
    <x v="1"/>
    <m/>
    <m/>
    <m/>
    <m/>
    <m/>
    <m/>
    <m/>
    <m/>
    <m/>
    <m/>
    <m/>
    <m/>
    <m/>
    <m/>
    <m/>
    <m/>
    <n v="174.81835008554867"/>
    <m/>
    <m/>
    <m/>
    <m/>
    <m/>
    <m/>
  </r>
  <r>
    <x v="14"/>
    <x v="2"/>
    <m/>
    <m/>
    <m/>
    <m/>
    <m/>
    <m/>
    <m/>
    <m/>
    <m/>
    <m/>
    <m/>
    <m/>
    <m/>
    <m/>
    <m/>
    <m/>
    <n v="348.67338711869866"/>
    <m/>
    <m/>
    <m/>
    <m/>
    <m/>
    <m/>
  </r>
  <r>
    <x v="14"/>
    <x v="3"/>
    <m/>
    <m/>
    <m/>
    <m/>
    <m/>
    <m/>
    <m/>
    <m/>
    <m/>
    <m/>
    <m/>
    <m/>
    <m/>
    <m/>
    <m/>
    <m/>
    <n v="476.28519345344057"/>
    <m/>
    <m/>
    <m/>
    <m/>
    <m/>
    <m/>
  </r>
  <r>
    <x v="14"/>
    <x v="4"/>
    <m/>
    <m/>
    <m/>
    <m/>
    <m/>
    <m/>
    <m/>
    <m/>
    <m/>
    <m/>
    <m/>
    <m/>
    <m/>
    <m/>
    <m/>
    <m/>
    <n v="398.79177802409123"/>
    <m/>
    <m/>
    <m/>
    <m/>
    <m/>
    <m/>
  </r>
  <r>
    <x v="14"/>
    <x v="5"/>
    <m/>
    <m/>
    <m/>
    <m/>
    <m/>
    <m/>
    <m/>
    <m/>
    <m/>
    <m/>
    <m/>
    <m/>
    <m/>
    <m/>
    <m/>
    <m/>
    <n v="448.33368305739737"/>
    <m/>
    <m/>
    <m/>
    <m/>
    <m/>
    <m/>
  </r>
  <r>
    <x v="14"/>
    <x v="6"/>
    <m/>
    <m/>
    <m/>
    <m/>
    <m/>
    <m/>
    <m/>
    <m/>
    <m/>
    <m/>
    <m/>
    <m/>
    <m/>
    <m/>
    <m/>
    <m/>
    <n v="302.91742882202453"/>
    <m/>
    <m/>
    <m/>
    <m/>
    <m/>
    <m/>
  </r>
  <r>
    <x v="15"/>
    <x v="0"/>
    <m/>
    <m/>
    <m/>
    <m/>
    <m/>
    <m/>
    <m/>
    <m/>
    <m/>
    <m/>
    <m/>
    <m/>
    <m/>
    <m/>
    <m/>
    <m/>
    <n v="100.32928576797659"/>
    <m/>
    <m/>
    <m/>
    <m/>
    <m/>
    <m/>
  </r>
  <r>
    <x v="15"/>
    <x v="1"/>
    <m/>
    <m/>
    <m/>
    <m/>
    <m/>
    <m/>
    <m/>
    <m/>
    <m/>
    <m/>
    <m/>
    <m/>
    <m/>
    <m/>
    <m/>
    <m/>
    <n v="120.04476659035612"/>
    <m/>
    <m/>
    <m/>
    <m/>
    <m/>
    <m/>
  </r>
  <r>
    <x v="15"/>
    <x v="2"/>
    <m/>
    <m/>
    <m/>
    <m/>
    <m/>
    <m/>
    <m/>
    <m/>
    <m/>
    <m/>
    <m/>
    <m/>
    <m/>
    <m/>
    <m/>
    <m/>
    <n v="206.99270393320768"/>
    <m/>
    <m/>
    <m/>
    <m/>
    <m/>
    <m/>
  </r>
  <r>
    <x v="15"/>
    <x v="3"/>
    <m/>
    <m/>
    <m/>
    <m/>
    <m/>
    <m/>
    <m/>
    <m/>
    <m/>
    <m/>
    <m/>
    <m/>
    <m/>
    <m/>
    <m/>
    <m/>
    <n v="295.23936149199335"/>
    <m/>
    <m/>
    <m/>
    <m/>
    <m/>
    <m/>
  </r>
  <r>
    <x v="15"/>
    <x v="4"/>
    <m/>
    <m/>
    <m/>
    <m/>
    <m/>
    <m/>
    <m/>
    <m/>
    <m/>
    <m/>
    <m/>
    <m/>
    <m/>
    <m/>
    <m/>
    <m/>
    <n v="242.64377645390798"/>
    <m/>
    <m/>
    <m/>
    <m/>
    <m/>
    <m/>
  </r>
  <r>
    <x v="15"/>
    <x v="5"/>
    <m/>
    <m/>
    <m/>
    <m/>
    <m/>
    <m/>
    <m/>
    <m/>
    <m/>
    <m/>
    <m/>
    <m/>
    <m/>
    <m/>
    <m/>
    <m/>
    <n v="277.59007801332928"/>
    <m/>
    <m/>
    <m/>
    <m/>
    <m/>
    <m/>
  </r>
  <r>
    <x v="15"/>
    <x v="6"/>
    <m/>
    <m/>
    <m/>
    <m/>
    <m/>
    <m/>
    <m/>
    <m/>
    <m/>
    <m/>
    <m/>
    <m/>
    <m/>
    <m/>
    <m/>
    <m/>
    <n v="178.97085897273368"/>
    <m/>
    <m/>
    <m/>
    <m/>
    <m/>
    <m/>
  </r>
  <r>
    <x v="16"/>
    <x v="0"/>
    <m/>
    <m/>
    <m/>
    <m/>
    <m/>
    <m/>
    <m/>
    <m/>
    <m/>
    <m/>
    <m/>
    <m/>
    <m/>
    <m/>
    <m/>
    <m/>
    <n v="117.99907832421054"/>
    <m/>
    <m/>
    <m/>
    <m/>
    <m/>
    <m/>
  </r>
  <r>
    <x v="16"/>
    <x v="1"/>
    <m/>
    <m/>
    <m/>
    <m/>
    <m/>
    <m/>
    <m/>
    <m/>
    <m/>
    <m/>
    <m/>
    <m/>
    <m/>
    <m/>
    <m/>
    <m/>
    <n v="137.36005067293942"/>
    <m/>
    <m/>
    <m/>
    <m/>
    <m/>
    <m/>
  </r>
  <r>
    <x v="16"/>
    <x v="2"/>
    <m/>
    <m/>
    <m/>
    <m/>
    <m/>
    <m/>
    <m/>
    <m/>
    <m/>
    <m/>
    <m/>
    <m/>
    <m/>
    <m/>
    <m/>
    <m/>
    <n v="245.24484688309448"/>
    <m/>
    <m/>
    <m/>
    <m/>
    <m/>
    <m/>
  </r>
  <r>
    <x v="16"/>
    <x v="3"/>
    <m/>
    <m/>
    <m/>
    <m/>
    <m/>
    <m/>
    <m/>
    <m/>
    <m/>
    <m/>
    <m/>
    <m/>
    <m/>
    <m/>
    <m/>
    <m/>
    <n v="346.06030844651991"/>
    <m/>
    <m/>
    <m/>
    <m/>
    <m/>
    <m/>
  </r>
  <r>
    <x v="16"/>
    <x v="4"/>
    <m/>
    <m/>
    <m/>
    <m/>
    <m/>
    <m/>
    <m/>
    <m/>
    <m/>
    <m/>
    <m/>
    <m/>
    <m/>
    <m/>
    <m/>
    <m/>
    <n v="285.7184107223577"/>
    <m/>
    <m/>
    <m/>
    <m/>
    <m/>
    <m/>
  </r>
  <r>
    <x v="16"/>
    <x v="5"/>
    <m/>
    <m/>
    <m/>
    <m/>
    <m/>
    <m/>
    <m/>
    <m/>
    <m/>
    <m/>
    <m/>
    <m/>
    <m/>
    <m/>
    <m/>
    <m/>
    <n v="325.46550412500682"/>
    <m/>
    <m/>
    <m/>
    <m/>
    <m/>
    <m/>
  </r>
  <r>
    <x v="16"/>
    <x v="6"/>
    <m/>
    <m/>
    <m/>
    <m/>
    <m/>
    <m/>
    <m/>
    <m/>
    <m/>
    <m/>
    <m/>
    <m/>
    <m/>
    <m/>
    <m/>
    <m/>
    <n v="212.30159940500664"/>
    <m/>
    <m/>
    <m/>
    <m/>
    <m/>
    <m/>
  </r>
  <r>
    <x v="17"/>
    <x v="0"/>
    <m/>
    <m/>
    <m/>
    <m/>
    <m/>
    <m/>
    <m/>
    <m/>
    <m/>
    <m/>
    <m/>
    <m/>
    <m/>
    <m/>
    <m/>
    <m/>
    <n v="693.68539420384764"/>
    <m/>
    <m/>
    <m/>
    <m/>
    <m/>
    <m/>
  </r>
  <r>
    <x v="17"/>
    <x v="1"/>
    <m/>
    <m/>
    <m/>
    <m/>
    <m/>
    <m/>
    <m/>
    <m/>
    <m/>
    <m/>
    <m/>
    <m/>
    <m/>
    <m/>
    <m/>
    <m/>
    <n v="703.11130887104207"/>
    <m/>
    <m/>
    <m/>
    <m/>
    <m/>
    <m/>
  </r>
  <r>
    <x v="17"/>
    <x v="2"/>
    <m/>
    <m/>
    <m/>
    <m/>
    <m/>
    <m/>
    <m/>
    <m/>
    <m/>
    <m/>
    <m/>
    <m/>
    <m/>
    <m/>
    <m/>
    <m/>
    <n v="1490.7510031212273"/>
    <m/>
    <m/>
    <m/>
    <m/>
    <m/>
    <m/>
  </r>
  <r>
    <x v="17"/>
    <x v="3"/>
    <m/>
    <m/>
    <m/>
    <m/>
    <m/>
    <m/>
    <m/>
    <m/>
    <m/>
    <m/>
    <m/>
    <m/>
    <m/>
    <m/>
    <m/>
    <m/>
    <n v="2002.3159163940879"/>
    <m/>
    <m/>
    <m/>
    <m/>
    <m/>
    <m/>
  </r>
  <r>
    <x v="17"/>
    <x v="4"/>
    <m/>
    <m/>
    <m/>
    <m/>
    <m/>
    <m/>
    <m/>
    <m/>
    <m/>
    <m/>
    <m/>
    <m/>
    <m/>
    <m/>
    <m/>
    <m/>
    <n v="1688.9571253746681"/>
    <m/>
    <m/>
    <m/>
    <m/>
    <m/>
    <m/>
  </r>
  <r>
    <x v="17"/>
    <x v="5"/>
    <m/>
    <m/>
    <m/>
    <m/>
    <m/>
    <m/>
    <m/>
    <m/>
    <m/>
    <m/>
    <m/>
    <m/>
    <m/>
    <m/>
    <m/>
    <m/>
    <n v="1885.6865794394321"/>
    <m/>
    <m/>
    <m/>
    <m/>
    <m/>
    <m/>
  </r>
  <r>
    <x v="17"/>
    <x v="6"/>
    <m/>
    <m/>
    <m/>
    <m/>
    <m/>
    <m/>
    <m/>
    <m/>
    <m/>
    <m/>
    <m/>
    <m/>
    <m/>
    <m/>
    <m/>
    <m/>
    <n v="1297.4614134025974"/>
    <m/>
    <m/>
    <m/>
    <m/>
    <m/>
    <m/>
  </r>
  <r>
    <x v="18"/>
    <x v="0"/>
    <m/>
    <m/>
    <m/>
    <m/>
    <m/>
    <m/>
    <m/>
    <m/>
    <m/>
    <m/>
    <m/>
    <m/>
    <m/>
    <m/>
    <m/>
    <m/>
    <n v="79.068886515256608"/>
    <m/>
    <m/>
    <m/>
    <m/>
    <m/>
    <m/>
  </r>
  <r>
    <x v="18"/>
    <x v="1"/>
    <m/>
    <m/>
    <m/>
    <m/>
    <m/>
    <m/>
    <m/>
    <m/>
    <m/>
    <m/>
    <m/>
    <m/>
    <m/>
    <m/>
    <m/>
    <m/>
    <n v="87.434148735795517"/>
    <m/>
    <m/>
    <m/>
    <m/>
    <m/>
    <m/>
  </r>
  <r>
    <x v="18"/>
    <x v="2"/>
    <m/>
    <m/>
    <m/>
    <m/>
    <m/>
    <m/>
    <m/>
    <m/>
    <m/>
    <m/>
    <m/>
    <m/>
    <m/>
    <m/>
    <m/>
    <m/>
    <n v="166.49773498528626"/>
    <m/>
    <m/>
    <m/>
    <m/>
    <m/>
    <m/>
  </r>
  <r>
    <x v="18"/>
    <x v="3"/>
    <m/>
    <m/>
    <m/>
    <m/>
    <m/>
    <m/>
    <m/>
    <m/>
    <m/>
    <m/>
    <m/>
    <m/>
    <m/>
    <m/>
    <m/>
    <m/>
    <n v="230.47213040432104"/>
    <m/>
    <m/>
    <m/>
    <m/>
    <m/>
    <m/>
  </r>
  <r>
    <x v="18"/>
    <x v="4"/>
    <m/>
    <m/>
    <m/>
    <m/>
    <m/>
    <m/>
    <m/>
    <m/>
    <m/>
    <m/>
    <m/>
    <m/>
    <m/>
    <m/>
    <m/>
    <m/>
    <n v="191.86461461418278"/>
    <m/>
    <m/>
    <m/>
    <m/>
    <m/>
    <m/>
  </r>
  <r>
    <x v="18"/>
    <x v="5"/>
    <m/>
    <m/>
    <m/>
    <m/>
    <m/>
    <m/>
    <m/>
    <m/>
    <m/>
    <m/>
    <m/>
    <m/>
    <m/>
    <m/>
    <m/>
    <m/>
    <n v="216.86803782598477"/>
    <m/>
    <m/>
    <m/>
    <m/>
    <m/>
    <m/>
  </r>
  <r>
    <x v="18"/>
    <x v="6"/>
    <m/>
    <m/>
    <m/>
    <m/>
    <m/>
    <m/>
    <m/>
    <m/>
    <m/>
    <m/>
    <m/>
    <m/>
    <m/>
    <m/>
    <m/>
    <m/>
    <n v="144.43966176305929"/>
    <m/>
    <m/>
    <m/>
    <m/>
    <m/>
    <m/>
  </r>
  <r>
    <x v="19"/>
    <x v="0"/>
    <m/>
    <m/>
    <m/>
    <m/>
    <m/>
    <m/>
    <m/>
    <m/>
    <m/>
    <m/>
    <m/>
    <m/>
    <m/>
    <m/>
    <m/>
    <m/>
    <n v="238.56988934402727"/>
    <m/>
    <m/>
    <m/>
    <m/>
    <m/>
    <m/>
  </r>
  <r>
    <x v="19"/>
    <x v="1"/>
    <m/>
    <m/>
    <m/>
    <m/>
    <m/>
    <m/>
    <m/>
    <m/>
    <m/>
    <m/>
    <m/>
    <m/>
    <m/>
    <m/>
    <m/>
    <m/>
    <n v="243.40832836476002"/>
    <m/>
    <m/>
    <m/>
    <m/>
    <m/>
    <m/>
  </r>
  <r>
    <x v="19"/>
    <x v="2"/>
    <m/>
    <m/>
    <m/>
    <m/>
    <m/>
    <m/>
    <m/>
    <m/>
    <m/>
    <m/>
    <m/>
    <m/>
    <m/>
    <m/>
    <m/>
    <m/>
    <n v="511.94414824941191"/>
    <m/>
    <m/>
    <m/>
    <m/>
    <m/>
    <m/>
  </r>
  <r>
    <x v="19"/>
    <x v="3"/>
    <m/>
    <m/>
    <m/>
    <m/>
    <m/>
    <m/>
    <m/>
    <m/>
    <m/>
    <m/>
    <m/>
    <m/>
    <m/>
    <m/>
    <m/>
    <m/>
    <n v="689.1202789289913"/>
    <m/>
    <m/>
    <m/>
    <m/>
    <m/>
    <m/>
  </r>
  <r>
    <x v="19"/>
    <x v="4"/>
    <m/>
    <m/>
    <m/>
    <m/>
    <m/>
    <m/>
    <m/>
    <m/>
    <m/>
    <m/>
    <m/>
    <m/>
    <m/>
    <m/>
    <m/>
    <m/>
    <n v="580.71815570072874"/>
    <m/>
    <m/>
    <m/>
    <m/>
    <m/>
    <m/>
  </r>
  <r>
    <x v="19"/>
    <x v="5"/>
    <m/>
    <m/>
    <m/>
    <m/>
    <m/>
    <m/>
    <m/>
    <m/>
    <m/>
    <m/>
    <m/>
    <m/>
    <m/>
    <m/>
    <m/>
    <m/>
    <n v="648.94157648535634"/>
    <m/>
    <m/>
    <m/>
    <m/>
    <m/>
    <m/>
  </r>
  <r>
    <x v="19"/>
    <x v="6"/>
    <m/>
    <m/>
    <m/>
    <m/>
    <m/>
    <m/>
    <m/>
    <m/>
    <m/>
    <m/>
    <m/>
    <m/>
    <m/>
    <m/>
    <m/>
    <m/>
    <n v="445.46292231494152"/>
    <m/>
    <m/>
    <m/>
    <m/>
    <m/>
    <m/>
  </r>
  <r>
    <x v="20"/>
    <x v="0"/>
    <m/>
    <m/>
    <m/>
    <m/>
    <m/>
    <m/>
    <m/>
    <m/>
    <m/>
    <m/>
    <m/>
    <m/>
    <m/>
    <m/>
    <m/>
    <m/>
    <n v="202.75891753302079"/>
    <m/>
    <m/>
    <m/>
    <m/>
    <m/>
    <m/>
  </r>
  <r>
    <x v="20"/>
    <x v="1"/>
    <m/>
    <m/>
    <m/>
    <m/>
    <m/>
    <m/>
    <m/>
    <m/>
    <m/>
    <m/>
    <m/>
    <m/>
    <m/>
    <m/>
    <m/>
    <m/>
    <n v="242.02253474316632"/>
    <m/>
    <m/>
    <m/>
    <m/>
    <m/>
    <m/>
  </r>
  <r>
    <x v="20"/>
    <x v="2"/>
    <m/>
    <m/>
    <m/>
    <m/>
    <m/>
    <m/>
    <m/>
    <m/>
    <m/>
    <m/>
    <m/>
    <m/>
    <m/>
    <m/>
    <m/>
    <m/>
    <n v="418.59110033219827"/>
    <m/>
    <m/>
    <m/>
    <m/>
    <m/>
    <m/>
  </r>
  <r>
    <x v="20"/>
    <x v="3"/>
    <m/>
    <m/>
    <m/>
    <m/>
    <m/>
    <m/>
    <m/>
    <m/>
    <m/>
    <m/>
    <m/>
    <m/>
    <m/>
    <m/>
    <m/>
    <m/>
    <n v="596.481152581787"/>
    <m/>
    <m/>
    <m/>
    <m/>
    <m/>
    <m/>
  </r>
  <r>
    <x v="20"/>
    <x v="4"/>
    <m/>
    <m/>
    <m/>
    <m/>
    <m/>
    <m/>
    <m/>
    <m/>
    <m/>
    <m/>
    <m/>
    <m/>
    <m/>
    <m/>
    <m/>
    <m/>
    <n v="490.41883006000359"/>
    <m/>
    <m/>
    <m/>
    <m/>
    <m/>
    <m/>
  </r>
  <r>
    <x v="20"/>
    <x v="5"/>
    <m/>
    <m/>
    <m/>
    <m/>
    <m/>
    <m/>
    <m/>
    <m/>
    <m/>
    <m/>
    <m/>
    <m/>
    <m/>
    <m/>
    <m/>
    <m/>
    <n v="560.83778964901114"/>
    <m/>
    <m/>
    <m/>
    <m/>
    <m/>
    <m/>
  </r>
  <r>
    <x v="20"/>
    <x v="6"/>
    <m/>
    <m/>
    <m/>
    <m/>
    <m/>
    <m/>
    <m/>
    <m/>
    <m/>
    <m/>
    <m/>
    <m/>
    <m/>
    <m/>
    <m/>
    <m/>
    <n v="361.96287046201212"/>
    <m/>
    <m/>
    <m/>
    <m/>
    <m/>
    <m/>
  </r>
  <r>
    <x v="21"/>
    <x v="0"/>
    <m/>
    <m/>
    <m/>
    <m/>
    <m/>
    <m/>
    <m/>
    <m/>
    <m/>
    <m/>
    <m/>
    <m/>
    <m/>
    <m/>
    <m/>
    <m/>
    <n v="120.11555431337464"/>
    <m/>
    <m/>
    <m/>
    <m/>
    <m/>
    <m/>
  </r>
  <r>
    <x v="21"/>
    <x v="1"/>
    <m/>
    <m/>
    <m/>
    <m/>
    <m/>
    <m/>
    <m/>
    <m/>
    <m/>
    <m/>
    <m/>
    <m/>
    <m/>
    <m/>
    <m/>
    <m/>
    <n v="131.83838212207993"/>
    <m/>
    <m/>
    <m/>
    <m/>
    <m/>
    <m/>
  </r>
  <r>
    <x v="21"/>
    <x v="2"/>
    <m/>
    <m/>
    <m/>
    <m/>
    <m/>
    <m/>
    <m/>
    <m/>
    <m/>
    <m/>
    <m/>
    <m/>
    <m/>
    <m/>
    <m/>
    <m/>
    <n v="253.39350975610895"/>
    <m/>
    <m/>
    <m/>
    <m/>
    <m/>
    <m/>
  </r>
  <r>
    <x v="21"/>
    <x v="3"/>
    <m/>
    <m/>
    <m/>
    <m/>
    <m/>
    <m/>
    <m/>
    <m/>
    <m/>
    <m/>
    <m/>
    <m/>
    <m/>
    <m/>
    <m/>
    <m/>
    <n v="349.81334746060458"/>
    <m/>
    <m/>
    <m/>
    <m/>
    <m/>
    <m/>
  </r>
  <r>
    <x v="21"/>
    <x v="4"/>
    <m/>
    <m/>
    <m/>
    <m/>
    <m/>
    <m/>
    <m/>
    <m/>
    <m/>
    <m/>
    <m/>
    <m/>
    <m/>
    <m/>
    <m/>
    <m/>
    <n v="291.55411063467687"/>
    <m/>
    <m/>
    <m/>
    <m/>
    <m/>
    <m/>
  </r>
  <r>
    <x v="21"/>
    <x v="5"/>
    <m/>
    <m/>
    <m/>
    <m/>
    <m/>
    <m/>
    <m/>
    <m/>
    <m/>
    <m/>
    <m/>
    <m/>
    <m/>
    <m/>
    <m/>
    <m/>
    <n v="329.18894066178098"/>
    <m/>
    <m/>
    <m/>
    <m/>
    <m/>
    <m/>
  </r>
  <r>
    <x v="21"/>
    <x v="6"/>
    <m/>
    <m/>
    <m/>
    <m/>
    <m/>
    <m/>
    <m/>
    <m/>
    <m/>
    <m/>
    <m/>
    <m/>
    <m/>
    <m/>
    <m/>
    <m/>
    <n v="219.8880693804845"/>
    <m/>
    <m/>
    <m/>
    <m/>
    <m/>
    <m/>
  </r>
  <r>
    <x v="22"/>
    <x v="0"/>
    <m/>
    <m/>
    <m/>
    <m/>
    <m/>
    <m/>
    <m/>
    <m/>
    <m/>
    <m/>
    <m/>
    <m/>
    <m/>
    <m/>
    <m/>
    <m/>
    <n v="52.811483641781123"/>
    <m/>
    <m/>
    <m/>
    <m/>
    <m/>
    <m/>
  </r>
  <r>
    <x v="22"/>
    <x v="1"/>
    <m/>
    <m/>
    <m/>
    <m/>
    <m/>
    <m/>
    <m/>
    <m/>
    <m/>
    <m/>
    <m/>
    <m/>
    <m/>
    <m/>
    <m/>
    <m/>
    <n v="73.020211718491495"/>
    <m/>
    <m/>
    <m/>
    <m/>
    <m/>
    <m/>
  </r>
  <r>
    <x v="22"/>
    <x v="2"/>
    <m/>
    <m/>
    <m/>
    <m/>
    <m/>
    <m/>
    <m/>
    <m/>
    <m/>
    <m/>
    <m/>
    <m/>
    <m/>
    <m/>
    <m/>
    <m/>
    <n v="104.34067502736198"/>
    <m/>
    <m/>
    <m/>
    <m/>
    <m/>
    <m/>
  </r>
  <r>
    <x v="22"/>
    <x v="3"/>
    <m/>
    <m/>
    <m/>
    <m/>
    <m/>
    <m/>
    <m/>
    <m/>
    <m/>
    <m/>
    <m/>
    <m/>
    <m/>
    <m/>
    <m/>
    <m/>
    <n v="158.42971177490071"/>
    <m/>
    <m/>
    <m/>
    <m/>
    <m/>
    <m/>
  </r>
  <r>
    <x v="22"/>
    <x v="4"/>
    <m/>
    <m/>
    <m/>
    <m/>
    <m/>
    <m/>
    <m/>
    <m/>
    <m/>
    <m/>
    <m/>
    <m/>
    <m/>
    <m/>
    <m/>
    <m/>
    <n v="126.84795532222283"/>
    <m/>
    <m/>
    <m/>
    <m/>
    <m/>
    <m/>
  </r>
  <r>
    <x v="22"/>
    <x v="5"/>
    <m/>
    <m/>
    <m/>
    <m/>
    <m/>
    <m/>
    <m/>
    <m/>
    <m/>
    <m/>
    <m/>
    <m/>
    <m/>
    <m/>
    <m/>
    <m/>
    <n v="148.72113374409449"/>
    <m/>
    <m/>
    <m/>
    <m/>
    <m/>
    <m/>
  </r>
  <r>
    <x v="22"/>
    <x v="6"/>
    <m/>
    <m/>
    <m/>
    <m/>
    <m/>
    <m/>
    <m/>
    <m/>
    <m/>
    <m/>
    <m/>
    <m/>
    <m/>
    <m/>
    <m/>
    <m/>
    <n v="89.555173332291702"/>
    <m/>
    <m/>
    <m/>
    <m/>
    <m/>
    <m/>
  </r>
  <r>
    <x v="23"/>
    <x v="0"/>
    <m/>
    <m/>
    <m/>
    <m/>
    <m/>
    <m/>
    <m/>
    <m/>
    <m/>
    <m/>
    <m/>
    <m/>
    <m/>
    <m/>
    <m/>
    <m/>
    <n v="153.4181289893117"/>
    <m/>
    <m/>
    <m/>
    <m/>
    <m/>
    <m/>
  </r>
  <r>
    <x v="23"/>
    <x v="1"/>
    <m/>
    <m/>
    <m/>
    <m/>
    <m/>
    <m/>
    <m/>
    <m/>
    <m/>
    <m/>
    <m/>
    <m/>
    <m/>
    <m/>
    <m/>
    <m/>
    <n v="186.3016510490252"/>
    <m/>
    <m/>
    <m/>
    <m/>
    <m/>
    <m/>
  </r>
  <r>
    <x v="23"/>
    <x v="2"/>
    <m/>
    <m/>
    <m/>
    <m/>
    <m/>
    <m/>
    <m/>
    <m/>
    <m/>
    <m/>
    <m/>
    <m/>
    <m/>
    <m/>
    <m/>
    <m/>
    <n v="315.23743021239801"/>
    <m/>
    <m/>
    <m/>
    <m/>
    <m/>
    <m/>
  </r>
  <r>
    <x v="23"/>
    <x v="3"/>
    <m/>
    <m/>
    <m/>
    <m/>
    <m/>
    <m/>
    <m/>
    <m/>
    <m/>
    <m/>
    <m/>
    <m/>
    <m/>
    <m/>
    <m/>
    <m/>
    <n v="452.30480828480609"/>
    <m/>
    <m/>
    <m/>
    <m/>
    <m/>
    <m/>
  </r>
  <r>
    <x v="23"/>
    <x v="4"/>
    <m/>
    <m/>
    <m/>
    <m/>
    <m/>
    <m/>
    <m/>
    <m/>
    <m/>
    <m/>
    <m/>
    <m/>
    <m/>
    <m/>
    <m/>
    <m/>
    <n v="370.79420850347282"/>
    <m/>
    <m/>
    <m/>
    <m/>
    <m/>
    <m/>
  </r>
  <r>
    <x v="23"/>
    <x v="5"/>
    <m/>
    <m/>
    <m/>
    <m/>
    <m/>
    <m/>
    <m/>
    <m/>
    <m/>
    <m/>
    <m/>
    <m/>
    <m/>
    <m/>
    <m/>
    <m/>
    <n v="425.20006868150347"/>
    <m/>
    <m/>
    <m/>
    <m/>
    <m/>
    <m/>
  </r>
  <r>
    <x v="23"/>
    <x v="6"/>
    <m/>
    <m/>
    <m/>
    <m/>
    <m/>
    <m/>
    <m/>
    <m/>
    <m/>
    <m/>
    <m/>
    <m/>
    <m/>
    <m/>
    <m/>
    <m/>
    <n v="272.3781086468627"/>
    <m/>
    <m/>
    <m/>
    <m/>
    <m/>
    <m/>
  </r>
  <r>
    <x v="24"/>
    <x v="0"/>
    <m/>
    <m/>
    <m/>
    <m/>
    <m/>
    <m/>
    <m/>
    <m/>
    <m/>
    <m/>
    <m/>
    <m/>
    <m/>
    <m/>
    <m/>
    <m/>
    <n v="305.21096959991445"/>
    <m/>
    <m/>
    <m/>
    <m/>
    <m/>
    <m/>
  </r>
  <r>
    <x v="24"/>
    <x v="1"/>
    <m/>
    <m/>
    <m/>
    <m/>
    <m/>
    <m/>
    <m/>
    <m/>
    <m/>
    <m/>
    <m/>
    <m/>
    <m/>
    <m/>
    <m/>
    <m/>
    <n v="330.33588842386786"/>
    <m/>
    <m/>
    <m/>
    <m/>
    <m/>
    <m/>
  </r>
  <r>
    <x v="24"/>
    <x v="2"/>
    <m/>
    <m/>
    <m/>
    <m/>
    <m/>
    <m/>
    <m/>
    <m/>
    <m/>
    <m/>
    <m/>
    <m/>
    <m/>
    <m/>
    <m/>
    <m/>
    <n v="646.05678014443606"/>
    <m/>
    <m/>
    <m/>
    <m/>
    <m/>
    <m/>
  </r>
  <r>
    <x v="24"/>
    <x v="3"/>
    <m/>
    <m/>
    <m/>
    <m/>
    <m/>
    <m/>
    <m/>
    <m/>
    <m/>
    <m/>
    <m/>
    <m/>
    <m/>
    <m/>
    <m/>
    <m/>
    <n v="887.43512636697812"/>
    <m/>
    <m/>
    <m/>
    <m/>
    <m/>
    <m/>
  </r>
  <r>
    <x v="24"/>
    <x v="4"/>
    <m/>
    <m/>
    <m/>
    <m/>
    <m/>
    <m/>
    <m/>
    <m/>
    <m/>
    <m/>
    <m/>
    <m/>
    <m/>
    <m/>
    <m/>
    <m/>
    <n v="741.24766145665092"/>
    <m/>
    <m/>
    <m/>
    <m/>
    <m/>
    <m/>
  </r>
  <r>
    <x v="24"/>
    <x v="5"/>
    <m/>
    <m/>
    <m/>
    <m/>
    <m/>
    <m/>
    <m/>
    <m/>
    <m/>
    <m/>
    <m/>
    <m/>
    <m/>
    <m/>
    <m/>
    <m/>
    <n v="835.22736339532401"/>
    <m/>
    <m/>
    <m/>
    <m/>
    <m/>
    <m/>
  </r>
  <r>
    <x v="24"/>
    <x v="6"/>
    <m/>
    <m/>
    <m/>
    <m/>
    <m/>
    <m/>
    <m/>
    <m/>
    <m/>
    <m/>
    <m/>
    <m/>
    <m/>
    <m/>
    <m/>
    <m/>
    <n v="560.93694775780841"/>
    <m/>
    <m/>
    <m/>
    <m/>
    <m/>
    <m/>
  </r>
  <r>
    <x v="25"/>
    <x v="0"/>
    <m/>
    <m/>
    <m/>
    <m/>
    <m/>
    <m/>
    <m/>
    <m/>
    <m/>
    <m/>
    <m/>
    <m/>
    <m/>
    <m/>
    <m/>
    <m/>
    <n v="103.57735815830421"/>
    <m/>
    <m/>
    <m/>
    <m/>
    <m/>
    <m/>
  </r>
  <r>
    <x v="25"/>
    <x v="1"/>
    <m/>
    <m/>
    <m/>
    <m/>
    <m/>
    <m/>
    <m/>
    <m/>
    <m/>
    <m/>
    <m/>
    <m/>
    <m/>
    <m/>
    <m/>
    <m/>
    <n v="114.46049991768805"/>
    <m/>
    <m/>
    <m/>
    <m/>
    <m/>
    <m/>
  </r>
  <r>
    <x v="25"/>
    <x v="2"/>
    <m/>
    <m/>
    <m/>
    <m/>
    <m/>
    <m/>
    <m/>
    <m/>
    <m/>
    <m/>
    <m/>
    <m/>
    <m/>
    <m/>
    <m/>
    <m/>
    <n v="218.14120273269461"/>
    <m/>
    <m/>
    <m/>
    <m/>
    <m/>
    <m/>
  </r>
  <r>
    <x v="25"/>
    <x v="3"/>
    <m/>
    <m/>
    <m/>
    <m/>
    <m/>
    <m/>
    <m/>
    <m/>
    <m/>
    <m/>
    <m/>
    <m/>
    <m/>
    <m/>
    <m/>
    <m/>
    <n v="301.88702395296468"/>
    <m/>
    <m/>
    <m/>
    <m/>
    <m/>
    <m/>
  </r>
  <r>
    <x v="25"/>
    <x v="4"/>
    <m/>
    <m/>
    <m/>
    <m/>
    <m/>
    <m/>
    <m/>
    <m/>
    <m/>
    <m/>
    <m/>
    <m/>
    <m/>
    <m/>
    <m/>
    <m/>
    <n v="251.34233043403393"/>
    <m/>
    <m/>
    <m/>
    <m/>
    <m/>
    <m/>
  </r>
  <r>
    <x v="25"/>
    <x v="5"/>
    <m/>
    <m/>
    <m/>
    <m/>
    <m/>
    <m/>
    <m/>
    <m/>
    <m/>
    <m/>
    <m/>
    <m/>
    <m/>
    <m/>
    <m/>
    <m/>
    <n v="284.06935211057356"/>
    <m/>
    <m/>
    <m/>
    <m/>
    <m/>
    <m/>
  </r>
  <r>
    <x v="25"/>
    <x v="6"/>
    <m/>
    <m/>
    <m/>
    <m/>
    <m/>
    <m/>
    <m/>
    <m/>
    <m/>
    <m/>
    <m/>
    <m/>
    <m/>
    <m/>
    <m/>
    <m/>
    <n v="189.24620076404725"/>
    <m/>
    <m/>
    <m/>
    <m/>
    <m/>
    <m/>
  </r>
  <r>
    <x v="26"/>
    <x v="0"/>
    <m/>
    <m/>
    <m/>
    <m/>
    <m/>
    <m/>
    <m/>
    <m/>
    <m/>
    <m/>
    <m/>
    <m/>
    <m/>
    <m/>
    <m/>
    <m/>
    <n v="120.79825099833285"/>
    <m/>
    <m/>
    <m/>
    <m/>
    <m/>
    <m/>
  </r>
  <r>
    <x v="26"/>
    <x v="1"/>
    <m/>
    <m/>
    <m/>
    <m/>
    <m/>
    <m/>
    <m/>
    <m/>
    <m/>
    <m/>
    <m/>
    <m/>
    <m/>
    <m/>
    <m/>
    <m/>
    <n v="125.0650120881602"/>
    <m/>
    <m/>
    <m/>
    <m/>
    <m/>
    <m/>
  </r>
  <r>
    <x v="26"/>
    <x v="2"/>
    <m/>
    <m/>
    <m/>
    <m/>
    <m/>
    <m/>
    <m/>
    <m/>
    <m/>
    <m/>
    <m/>
    <m/>
    <m/>
    <m/>
    <m/>
    <m/>
    <n v="258.36628688330154"/>
    <m/>
    <m/>
    <m/>
    <m/>
    <m/>
    <m/>
  </r>
  <r>
    <x v="26"/>
    <x v="3"/>
    <m/>
    <m/>
    <m/>
    <m/>
    <m/>
    <m/>
    <m/>
    <m/>
    <m/>
    <m/>
    <m/>
    <m/>
    <m/>
    <m/>
    <m/>
    <m/>
    <n v="349.4897392387461"/>
    <m/>
    <m/>
    <m/>
    <m/>
    <m/>
    <m/>
  </r>
  <r>
    <x v="26"/>
    <x v="4"/>
    <m/>
    <m/>
    <m/>
    <m/>
    <m/>
    <m/>
    <m/>
    <m/>
    <m/>
    <m/>
    <m/>
    <m/>
    <m/>
    <m/>
    <m/>
    <m/>
    <n v="293.88095766841508"/>
    <m/>
    <m/>
    <m/>
    <m/>
    <m/>
    <m/>
  </r>
  <r>
    <x v="26"/>
    <x v="5"/>
    <m/>
    <m/>
    <m/>
    <m/>
    <m/>
    <m/>
    <m/>
    <m/>
    <m/>
    <m/>
    <m/>
    <m/>
    <m/>
    <m/>
    <m/>
    <m/>
    <n v="329.06821454618495"/>
    <m/>
    <m/>
    <m/>
    <m/>
    <m/>
    <m/>
  </r>
  <r>
    <x v="26"/>
    <x v="6"/>
    <m/>
    <m/>
    <m/>
    <m/>
    <m/>
    <m/>
    <m/>
    <m/>
    <m/>
    <m/>
    <m/>
    <m/>
    <m/>
    <m/>
    <m/>
    <m/>
    <n v="224.69743997492176"/>
    <m/>
    <m/>
    <m/>
    <m/>
    <m/>
    <m/>
  </r>
  <r>
    <x v="27"/>
    <x v="0"/>
    <m/>
    <m/>
    <m/>
    <m/>
    <m/>
    <m/>
    <m/>
    <m/>
    <m/>
    <m/>
    <m/>
    <m/>
    <m/>
    <m/>
    <m/>
    <m/>
    <n v="171.52127123431049"/>
    <m/>
    <m/>
    <m/>
    <m/>
    <m/>
    <m/>
  </r>
  <r>
    <x v="27"/>
    <x v="1"/>
    <m/>
    <m/>
    <m/>
    <m/>
    <m/>
    <m/>
    <m/>
    <m/>
    <m/>
    <m/>
    <m/>
    <m/>
    <m/>
    <m/>
    <m/>
    <m/>
    <n v="185.43564316845371"/>
    <m/>
    <m/>
    <m/>
    <m/>
    <m/>
    <m/>
  </r>
  <r>
    <x v="27"/>
    <x v="2"/>
    <m/>
    <m/>
    <m/>
    <m/>
    <m/>
    <m/>
    <m/>
    <m/>
    <m/>
    <m/>
    <m/>
    <m/>
    <m/>
    <m/>
    <m/>
    <m/>
    <n v="363.16484615874595"/>
    <m/>
    <m/>
    <m/>
    <m/>
    <m/>
    <m/>
  </r>
  <r>
    <x v="27"/>
    <x v="3"/>
    <m/>
    <m/>
    <m/>
    <m/>
    <m/>
    <m/>
    <m/>
    <m/>
    <m/>
    <m/>
    <m/>
    <m/>
    <m/>
    <m/>
    <m/>
    <m/>
    <n v="498.65426312435784"/>
    <m/>
    <m/>
    <m/>
    <m/>
    <m/>
    <m/>
  </r>
  <r>
    <x v="27"/>
    <x v="4"/>
    <m/>
    <m/>
    <m/>
    <m/>
    <m/>
    <m/>
    <m/>
    <m/>
    <m/>
    <m/>
    <m/>
    <m/>
    <m/>
    <m/>
    <m/>
    <m/>
    <n v="416.58174396358208"/>
    <m/>
    <m/>
    <m/>
    <m/>
    <m/>
    <m/>
  </r>
  <r>
    <x v="27"/>
    <x v="5"/>
    <m/>
    <m/>
    <m/>
    <m/>
    <m/>
    <m/>
    <m/>
    <m/>
    <m/>
    <m/>
    <m/>
    <m/>
    <m/>
    <m/>
    <m/>
    <m/>
    <n v="469.32348094797129"/>
    <m/>
    <m/>
    <m/>
    <m/>
    <m/>
    <m/>
  </r>
  <r>
    <x v="27"/>
    <x v="6"/>
    <m/>
    <m/>
    <m/>
    <m/>
    <m/>
    <m/>
    <m/>
    <m/>
    <m/>
    <m/>
    <m/>
    <m/>
    <m/>
    <m/>
    <m/>
    <m/>
    <n v="315.33027182953793"/>
    <m/>
    <m/>
    <m/>
    <m/>
    <m/>
    <m/>
  </r>
  <r>
    <x v="0"/>
    <x v="0"/>
    <m/>
    <m/>
    <m/>
    <m/>
    <m/>
    <m/>
    <m/>
    <m/>
    <m/>
    <m/>
    <m/>
    <m/>
    <m/>
    <m/>
    <m/>
    <n v="105.36482188113871"/>
    <m/>
    <m/>
    <m/>
    <m/>
    <m/>
    <m/>
    <m/>
  </r>
  <r>
    <x v="0"/>
    <x v="1"/>
    <m/>
    <m/>
    <m/>
    <m/>
    <m/>
    <m/>
    <m/>
    <m/>
    <m/>
    <m/>
    <m/>
    <m/>
    <m/>
    <m/>
    <m/>
    <n v="114.66197555370184"/>
    <m/>
    <m/>
    <m/>
    <m/>
    <m/>
    <m/>
    <m/>
  </r>
  <r>
    <x v="0"/>
    <x v="2"/>
    <m/>
    <m/>
    <m/>
    <m/>
    <m/>
    <m/>
    <m/>
    <m/>
    <m/>
    <m/>
    <m/>
    <m/>
    <m/>
    <m/>
    <m/>
    <n v="227.71300229721425"/>
    <m/>
    <m/>
    <m/>
    <m/>
    <m/>
    <m/>
    <m/>
  </r>
  <r>
    <x v="0"/>
    <x v="3"/>
    <m/>
    <m/>
    <m/>
    <m/>
    <m/>
    <m/>
    <m/>
    <m/>
    <m/>
    <m/>
    <m/>
    <m/>
    <m/>
    <m/>
    <m/>
    <n v="303.29630426329851"/>
    <m/>
    <m/>
    <m/>
    <m/>
    <m/>
    <m/>
    <m/>
  </r>
  <r>
    <x v="0"/>
    <x v="4"/>
    <m/>
    <m/>
    <m/>
    <m/>
    <m/>
    <m/>
    <m/>
    <m/>
    <m/>
    <m/>
    <m/>
    <m/>
    <m/>
    <m/>
    <m/>
    <n v="256.78083431966303"/>
    <m/>
    <m/>
    <m/>
    <m/>
    <m/>
    <m/>
    <m/>
  </r>
  <r>
    <x v="0"/>
    <x v="5"/>
    <m/>
    <m/>
    <m/>
    <m/>
    <m/>
    <m/>
    <m/>
    <m/>
    <m/>
    <m/>
    <m/>
    <m/>
    <m/>
    <m/>
    <m/>
    <n v="285.69737445826979"/>
    <m/>
    <m/>
    <m/>
    <m/>
    <m/>
    <m/>
    <m/>
  </r>
  <r>
    <x v="0"/>
    <x v="6"/>
    <m/>
    <m/>
    <m/>
    <m/>
    <m/>
    <m/>
    <m/>
    <m/>
    <m/>
    <m/>
    <m/>
    <m/>
    <m/>
    <m/>
    <m/>
    <n v="198.36378172835217"/>
    <m/>
    <m/>
    <m/>
    <m/>
    <m/>
    <m/>
    <m/>
  </r>
  <r>
    <x v="1"/>
    <x v="0"/>
    <m/>
    <m/>
    <m/>
    <m/>
    <m/>
    <m/>
    <m/>
    <m/>
    <m/>
    <m/>
    <m/>
    <m/>
    <m/>
    <m/>
    <m/>
    <n v="118.75929953740076"/>
    <m/>
    <m/>
    <m/>
    <m/>
    <m/>
    <m/>
    <m/>
  </r>
  <r>
    <x v="1"/>
    <x v="1"/>
    <m/>
    <m/>
    <m/>
    <m/>
    <m/>
    <m/>
    <m/>
    <m/>
    <m/>
    <m/>
    <m/>
    <m/>
    <m/>
    <m/>
    <m/>
    <n v="139.40328701307141"/>
    <m/>
    <m/>
    <m/>
    <m/>
    <m/>
    <m/>
    <m/>
  </r>
  <r>
    <x v="1"/>
    <x v="2"/>
    <m/>
    <m/>
    <m/>
    <m/>
    <m/>
    <m/>
    <m/>
    <m/>
    <m/>
    <m/>
    <m/>
    <m/>
    <m/>
    <m/>
    <m/>
    <n v="257.32623674306882"/>
    <m/>
    <m/>
    <m/>
    <m/>
    <m/>
    <m/>
    <m/>
  </r>
  <r>
    <x v="1"/>
    <x v="3"/>
    <m/>
    <m/>
    <m/>
    <m/>
    <m/>
    <m/>
    <m/>
    <m/>
    <m/>
    <m/>
    <m/>
    <m/>
    <m/>
    <m/>
    <m/>
    <n v="341.41739730807751"/>
    <m/>
    <m/>
    <m/>
    <m/>
    <m/>
    <m/>
    <m/>
  </r>
  <r>
    <x v="1"/>
    <x v="4"/>
    <m/>
    <m/>
    <m/>
    <m/>
    <m/>
    <m/>
    <m/>
    <m/>
    <m/>
    <m/>
    <m/>
    <m/>
    <m/>
    <m/>
    <m/>
    <n v="289.55016736231187"/>
    <m/>
    <m/>
    <m/>
    <m/>
    <m/>
    <m/>
    <m/>
  </r>
  <r>
    <x v="1"/>
    <x v="5"/>
    <m/>
    <m/>
    <m/>
    <m/>
    <m/>
    <m/>
    <m/>
    <m/>
    <m/>
    <m/>
    <m/>
    <m/>
    <m/>
    <m/>
    <m/>
    <n v="321.64149160806511"/>
    <m/>
    <m/>
    <m/>
    <m/>
    <m/>
    <m/>
    <m/>
  </r>
  <r>
    <x v="1"/>
    <x v="6"/>
    <m/>
    <m/>
    <m/>
    <m/>
    <m/>
    <m/>
    <m/>
    <m/>
    <m/>
    <m/>
    <m/>
    <m/>
    <m/>
    <m/>
    <m/>
    <n v="224.25109347554641"/>
    <m/>
    <m/>
    <m/>
    <m/>
    <m/>
    <m/>
    <m/>
  </r>
  <r>
    <x v="2"/>
    <x v="0"/>
    <m/>
    <m/>
    <m/>
    <m/>
    <m/>
    <m/>
    <m/>
    <m/>
    <m/>
    <m/>
    <m/>
    <m/>
    <m/>
    <m/>
    <m/>
    <n v="58.174388065757618"/>
    <m/>
    <m/>
    <m/>
    <m/>
    <m/>
    <m/>
    <m/>
  </r>
  <r>
    <x v="2"/>
    <x v="1"/>
    <m/>
    <m/>
    <m/>
    <m/>
    <m/>
    <m/>
    <m/>
    <m/>
    <m/>
    <m/>
    <m/>
    <m/>
    <m/>
    <m/>
    <m/>
    <n v="115.32204775026757"/>
    <m/>
    <m/>
    <m/>
    <m/>
    <m/>
    <m/>
    <m/>
  </r>
  <r>
    <x v="2"/>
    <x v="2"/>
    <m/>
    <m/>
    <m/>
    <m/>
    <m/>
    <m/>
    <m/>
    <m/>
    <m/>
    <m/>
    <m/>
    <m/>
    <m/>
    <m/>
    <m/>
    <n v="129.12992563688729"/>
    <m/>
    <m/>
    <m/>
    <m/>
    <m/>
    <m/>
    <m/>
  </r>
  <r>
    <x v="2"/>
    <x v="3"/>
    <m/>
    <m/>
    <m/>
    <m/>
    <m/>
    <m/>
    <m/>
    <m/>
    <m/>
    <m/>
    <m/>
    <m/>
    <m/>
    <m/>
    <m/>
    <n v="165.22915474432551"/>
    <m/>
    <m/>
    <m/>
    <m/>
    <m/>
    <m/>
    <m/>
  </r>
  <r>
    <x v="2"/>
    <x v="4"/>
    <m/>
    <m/>
    <m/>
    <m/>
    <m/>
    <m/>
    <m/>
    <m/>
    <m/>
    <m/>
    <m/>
    <m/>
    <m/>
    <m/>
    <m/>
    <n v="142.42013760673629"/>
    <m/>
    <m/>
    <m/>
    <m/>
    <m/>
    <m/>
    <m/>
  </r>
  <r>
    <x v="2"/>
    <x v="5"/>
    <m/>
    <m/>
    <m/>
    <m/>
    <m/>
    <m/>
    <m/>
    <m/>
    <m/>
    <m/>
    <m/>
    <m/>
    <m/>
    <m/>
    <m/>
    <n v="155.8208484121019"/>
    <m/>
    <m/>
    <m/>
    <m/>
    <m/>
    <m/>
    <m/>
  </r>
  <r>
    <x v="2"/>
    <x v="6"/>
    <m/>
    <m/>
    <m/>
    <m/>
    <m/>
    <m/>
    <m/>
    <m/>
    <m/>
    <m/>
    <m/>
    <m/>
    <m/>
    <m/>
    <m/>
    <n v="112.95157830579592"/>
    <m/>
    <m/>
    <m/>
    <m/>
    <m/>
    <m/>
    <m/>
  </r>
  <r>
    <x v="3"/>
    <x v="0"/>
    <m/>
    <m/>
    <m/>
    <m/>
    <m/>
    <m/>
    <m/>
    <m/>
    <m/>
    <m/>
    <m/>
    <m/>
    <m/>
    <m/>
    <m/>
    <n v="69.361582940398009"/>
    <m/>
    <m/>
    <m/>
    <m/>
    <m/>
    <m/>
    <m/>
  </r>
  <r>
    <x v="3"/>
    <x v="1"/>
    <m/>
    <m/>
    <m/>
    <m/>
    <m/>
    <m/>
    <m/>
    <m/>
    <m/>
    <m/>
    <m/>
    <m/>
    <m/>
    <m/>
    <m/>
    <n v="117.4178577548292"/>
    <m/>
    <m/>
    <m/>
    <m/>
    <m/>
    <m/>
    <m/>
  </r>
  <r>
    <x v="3"/>
    <x v="2"/>
    <m/>
    <m/>
    <m/>
    <m/>
    <m/>
    <m/>
    <m/>
    <m/>
    <m/>
    <m/>
    <m/>
    <m/>
    <m/>
    <m/>
    <m/>
    <n v="152.64791926275601"/>
    <m/>
    <m/>
    <m/>
    <m/>
    <m/>
    <m/>
    <m/>
  </r>
  <r>
    <x v="3"/>
    <x v="3"/>
    <m/>
    <m/>
    <m/>
    <m/>
    <m/>
    <m/>
    <m/>
    <m/>
    <m/>
    <m/>
    <m/>
    <m/>
    <m/>
    <m/>
    <m/>
    <n v="197.86355962682913"/>
    <m/>
    <m/>
    <m/>
    <m/>
    <m/>
    <m/>
    <m/>
  </r>
  <r>
    <x v="3"/>
    <x v="4"/>
    <m/>
    <m/>
    <m/>
    <m/>
    <m/>
    <m/>
    <m/>
    <m/>
    <m/>
    <m/>
    <m/>
    <m/>
    <m/>
    <m/>
    <m/>
    <n v="169.55899073676198"/>
    <m/>
    <m/>
    <m/>
    <m/>
    <m/>
    <m/>
    <m/>
  </r>
  <r>
    <x v="3"/>
    <x v="5"/>
    <m/>
    <m/>
    <m/>
    <m/>
    <m/>
    <m/>
    <m/>
    <m/>
    <m/>
    <m/>
    <m/>
    <m/>
    <m/>
    <m/>
    <m/>
    <n v="186.52690141957549"/>
    <m/>
    <m/>
    <m/>
    <m/>
    <m/>
    <m/>
    <m/>
  </r>
  <r>
    <x v="3"/>
    <x v="6"/>
    <m/>
    <m/>
    <m/>
    <m/>
    <m/>
    <m/>
    <m/>
    <m/>
    <m/>
    <m/>
    <m/>
    <m/>
    <m/>
    <m/>
    <m/>
    <n v="133.34834814615348"/>
    <m/>
    <m/>
    <m/>
    <m/>
    <m/>
    <m/>
    <m/>
  </r>
  <r>
    <x v="4"/>
    <x v="0"/>
    <m/>
    <m/>
    <m/>
    <m/>
    <m/>
    <m/>
    <m/>
    <m/>
    <m/>
    <m/>
    <m/>
    <m/>
    <m/>
    <m/>
    <m/>
    <n v="73.620704691276401"/>
    <m/>
    <m/>
    <m/>
    <m/>
    <m/>
    <m/>
    <m/>
  </r>
  <r>
    <x v="4"/>
    <x v="1"/>
    <m/>
    <m/>
    <m/>
    <m/>
    <m/>
    <m/>
    <m/>
    <m/>
    <m/>
    <m/>
    <m/>
    <m/>
    <m/>
    <m/>
    <m/>
    <n v="93.427467976300548"/>
    <m/>
    <m/>
    <m/>
    <m/>
    <m/>
    <m/>
    <m/>
  </r>
  <r>
    <x v="4"/>
    <x v="2"/>
    <m/>
    <m/>
    <m/>
    <m/>
    <m/>
    <m/>
    <m/>
    <m/>
    <m/>
    <m/>
    <m/>
    <m/>
    <m/>
    <m/>
    <m/>
    <n v="159.97920677472433"/>
    <m/>
    <m/>
    <m/>
    <m/>
    <m/>
    <m/>
    <m/>
  </r>
  <r>
    <x v="4"/>
    <x v="3"/>
    <m/>
    <m/>
    <m/>
    <m/>
    <m/>
    <m/>
    <m/>
    <m/>
    <m/>
    <m/>
    <m/>
    <m/>
    <m/>
    <m/>
    <m/>
    <n v="211.34964781047674"/>
    <m/>
    <m/>
    <m/>
    <m/>
    <m/>
    <m/>
    <m/>
  </r>
  <r>
    <x v="4"/>
    <x v="4"/>
    <m/>
    <m/>
    <m/>
    <m/>
    <m/>
    <m/>
    <m/>
    <m/>
    <m/>
    <m/>
    <m/>
    <m/>
    <m/>
    <m/>
    <m/>
    <n v="179.5835476002228"/>
    <m/>
    <m/>
    <m/>
    <m/>
    <m/>
    <m/>
    <m/>
  </r>
  <r>
    <x v="4"/>
    <x v="5"/>
    <m/>
    <m/>
    <m/>
    <m/>
    <m/>
    <m/>
    <m/>
    <m/>
    <m/>
    <m/>
    <m/>
    <m/>
    <m/>
    <m/>
    <m/>
    <n v="199.13183041145274"/>
    <m/>
    <m/>
    <m/>
    <m/>
    <m/>
    <m/>
    <m/>
  </r>
  <r>
    <x v="4"/>
    <x v="6"/>
    <m/>
    <m/>
    <m/>
    <m/>
    <m/>
    <m/>
    <m/>
    <m/>
    <m/>
    <m/>
    <m/>
    <m/>
    <m/>
    <m/>
    <m/>
    <n v="139.4789297540116"/>
    <m/>
    <m/>
    <m/>
    <m/>
    <m/>
    <m/>
    <m/>
  </r>
  <r>
    <x v="5"/>
    <x v="0"/>
    <m/>
    <m/>
    <m/>
    <m/>
    <m/>
    <m/>
    <m/>
    <m/>
    <m/>
    <m/>
    <m/>
    <m/>
    <m/>
    <m/>
    <m/>
    <n v="85.850988748687513"/>
    <m/>
    <m/>
    <m/>
    <m/>
    <m/>
    <m/>
    <m/>
  </r>
  <r>
    <x v="5"/>
    <x v="1"/>
    <m/>
    <m/>
    <m/>
    <m/>
    <m/>
    <m/>
    <m/>
    <m/>
    <m/>
    <m/>
    <m/>
    <m/>
    <m/>
    <m/>
    <m/>
    <n v="106.91327661218627"/>
    <m/>
    <m/>
    <m/>
    <m/>
    <m/>
    <m/>
    <m/>
  </r>
  <r>
    <x v="5"/>
    <x v="2"/>
    <m/>
    <m/>
    <m/>
    <m/>
    <m/>
    <m/>
    <m/>
    <m/>
    <m/>
    <m/>
    <m/>
    <m/>
    <m/>
    <m/>
    <m/>
    <n v="186.42267014987033"/>
    <m/>
    <m/>
    <m/>
    <m/>
    <m/>
    <m/>
    <m/>
  </r>
  <r>
    <x v="5"/>
    <x v="3"/>
    <m/>
    <m/>
    <m/>
    <m/>
    <m/>
    <m/>
    <m/>
    <m/>
    <m/>
    <m/>
    <m/>
    <m/>
    <m/>
    <m/>
    <m/>
    <n v="246.54739245386151"/>
    <m/>
    <m/>
    <m/>
    <m/>
    <m/>
    <m/>
    <m/>
  </r>
  <r>
    <x v="5"/>
    <x v="4"/>
    <m/>
    <m/>
    <m/>
    <m/>
    <m/>
    <m/>
    <m/>
    <m/>
    <m/>
    <m/>
    <m/>
    <m/>
    <m/>
    <m/>
    <m/>
    <n v="209.39172316962797"/>
    <m/>
    <m/>
    <m/>
    <m/>
    <m/>
    <m/>
    <m/>
  </r>
  <r>
    <x v="5"/>
    <x v="5"/>
    <m/>
    <m/>
    <m/>
    <m/>
    <m/>
    <m/>
    <m/>
    <m/>
    <m/>
    <m/>
    <m/>
    <m/>
    <m/>
    <m/>
    <m/>
    <n v="232.28781472929697"/>
    <m/>
    <m/>
    <m/>
    <m/>
    <m/>
    <m/>
    <m/>
  </r>
  <r>
    <x v="5"/>
    <x v="6"/>
    <m/>
    <m/>
    <m/>
    <m/>
    <m/>
    <m/>
    <m/>
    <m/>
    <m/>
    <m/>
    <m/>
    <m/>
    <m/>
    <m/>
    <m/>
    <n v="162.51575328714844"/>
    <m/>
    <m/>
    <m/>
    <m/>
    <m/>
    <m/>
    <m/>
  </r>
  <r>
    <x v="6"/>
    <x v="0"/>
    <m/>
    <m/>
    <m/>
    <m/>
    <m/>
    <m/>
    <m/>
    <m/>
    <m/>
    <m/>
    <m/>
    <m/>
    <m/>
    <m/>
    <m/>
    <n v="72.486389097576946"/>
    <m/>
    <m/>
    <m/>
    <m/>
    <m/>
    <m/>
    <m/>
  </r>
  <r>
    <x v="6"/>
    <x v="1"/>
    <m/>
    <m/>
    <m/>
    <m/>
    <m/>
    <m/>
    <m/>
    <m/>
    <m/>
    <m/>
    <m/>
    <m/>
    <m/>
    <m/>
    <m/>
    <n v="80.510769794328056"/>
    <m/>
    <m/>
    <m/>
    <m/>
    <m/>
    <m/>
    <m/>
  </r>
  <r>
    <x v="6"/>
    <x v="2"/>
    <m/>
    <m/>
    <m/>
    <m/>
    <m/>
    <m/>
    <m/>
    <m/>
    <m/>
    <m/>
    <m/>
    <m/>
    <m/>
    <m/>
    <m/>
    <n v="156.7631578776448"/>
    <m/>
    <m/>
    <m/>
    <m/>
    <m/>
    <m/>
    <m/>
  </r>
  <r>
    <x v="6"/>
    <x v="3"/>
    <m/>
    <m/>
    <m/>
    <m/>
    <m/>
    <m/>
    <m/>
    <m/>
    <m/>
    <m/>
    <m/>
    <m/>
    <m/>
    <m/>
    <m/>
    <n v="208.58484796536092"/>
    <m/>
    <m/>
    <m/>
    <m/>
    <m/>
    <m/>
    <m/>
  </r>
  <r>
    <x v="6"/>
    <x v="4"/>
    <m/>
    <m/>
    <m/>
    <m/>
    <m/>
    <m/>
    <m/>
    <m/>
    <m/>
    <m/>
    <m/>
    <m/>
    <m/>
    <m/>
    <m/>
    <n v="176.67418841307475"/>
    <m/>
    <m/>
    <m/>
    <m/>
    <m/>
    <m/>
    <m/>
  </r>
  <r>
    <x v="6"/>
    <x v="5"/>
    <m/>
    <m/>
    <m/>
    <m/>
    <m/>
    <m/>
    <m/>
    <m/>
    <m/>
    <m/>
    <m/>
    <m/>
    <m/>
    <m/>
    <m/>
    <n v="196.4872109985352"/>
    <m/>
    <m/>
    <m/>
    <m/>
    <m/>
    <m/>
    <m/>
  </r>
  <r>
    <x v="6"/>
    <x v="6"/>
    <m/>
    <m/>
    <m/>
    <m/>
    <m/>
    <m/>
    <m/>
    <m/>
    <m/>
    <m/>
    <m/>
    <m/>
    <m/>
    <m/>
    <m/>
    <n v="136.57299314271833"/>
    <m/>
    <m/>
    <m/>
    <m/>
    <m/>
    <m/>
    <m/>
  </r>
  <r>
    <x v="7"/>
    <x v="0"/>
    <m/>
    <m/>
    <m/>
    <m/>
    <m/>
    <m/>
    <m/>
    <m/>
    <m/>
    <m/>
    <m/>
    <m/>
    <m/>
    <m/>
    <m/>
    <n v="69.552115523717447"/>
    <m/>
    <m/>
    <m/>
    <m/>
    <m/>
    <m/>
    <m/>
  </r>
  <r>
    <x v="7"/>
    <x v="1"/>
    <m/>
    <m/>
    <m/>
    <m/>
    <m/>
    <m/>
    <m/>
    <m/>
    <m/>
    <m/>
    <m/>
    <m/>
    <m/>
    <m/>
    <m/>
    <n v="89.729085220687139"/>
    <m/>
    <m/>
    <m/>
    <m/>
    <m/>
    <m/>
    <m/>
  </r>
  <r>
    <x v="7"/>
    <x v="2"/>
    <m/>
    <m/>
    <m/>
    <m/>
    <m/>
    <m/>
    <m/>
    <m/>
    <m/>
    <m/>
    <m/>
    <m/>
    <m/>
    <m/>
    <m/>
    <n v="151.23395312372983"/>
    <m/>
    <m/>
    <m/>
    <m/>
    <m/>
    <m/>
    <m/>
  </r>
  <r>
    <x v="7"/>
    <x v="3"/>
    <m/>
    <m/>
    <m/>
    <m/>
    <m/>
    <m/>
    <m/>
    <m/>
    <m/>
    <m/>
    <m/>
    <m/>
    <m/>
    <m/>
    <m/>
    <n v="199.60683944607109"/>
    <m/>
    <m/>
    <m/>
    <m/>
    <m/>
    <m/>
    <m/>
  </r>
  <r>
    <x v="7"/>
    <x v="4"/>
    <m/>
    <m/>
    <m/>
    <m/>
    <m/>
    <m/>
    <m/>
    <m/>
    <m/>
    <m/>
    <m/>
    <m/>
    <m/>
    <m/>
    <m/>
    <n v="169.67718300264747"/>
    <m/>
    <m/>
    <m/>
    <m/>
    <m/>
    <m/>
    <m/>
  </r>
  <r>
    <x v="7"/>
    <x v="5"/>
    <m/>
    <m/>
    <m/>
    <m/>
    <m/>
    <m/>
    <m/>
    <m/>
    <m/>
    <m/>
    <m/>
    <m/>
    <m/>
    <m/>
    <m/>
    <n v="188.07291708231497"/>
    <m/>
    <m/>
    <m/>
    <m/>
    <m/>
    <m/>
    <m/>
  </r>
  <r>
    <x v="7"/>
    <x v="6"/>
    <m/>
    <m/>
    <m/>
    <m/>
    <m/>
    <m/>
    <m/>
    <m/>
    <m/>
    <m/>
    <m/>
    <m/>
    <m/>
    <m/>
    <m/>
    <n v="131.86734094041969"/>
    <m/>
    <m/>
    <m/>
    <m/>
    <m/>
    <m/>
    <m/>
  </r>
  <r>
    <x v="8"/>
    <x v="0"/>
    <m/>
    <m/>
    <m/>
    <m/>
    <m/>
    <m/>
    <m/>
    <m/>
    <m/>
    <m/>
    <m/>
    <m/>
    <m/>
    <m/>
    <m/>
    <n v="76.878989335842434"/>
    <m/>
    <m/>
    <m/>
    <m/>
    <m/>
    <m/>
    <m/>
  </r>
  <r>
    <x v="8"/>
    <x v="1"/>
    <m/>
    <m/>
    <m/>
    <m/>
    <m/>
    <m/>
    <m/>
    <m/>
    <m/>
    <m/>
    <m/>
    <m/>
    <m/>
    <m/>
    <m/>
    <n v="92.072303635152437"/>
    <m/>
    <m/>
    <m/>
    <m/>
    <m/>
    <m/>
    <m/>
  </r>
  <r>
    <x v="8"/>
    <x v="2"/>
    <m/>
    <m/>
    <m/>
    <m/>
    <m/>
    <m/>
    <m/>
    <m/>
    <m/>
    <m/>
    <m/>
    <m/>
    <m/>
    <m/>
    <m/>
    <n v="166.70020958413235"/>
    <m/>
    <m/>
    <m/>
    <m/>
    <m/>
    <m/>
    <m/>
  </r>
  <r>
    <x v="8"/>
    <x v="3"/>
    <m/>
    <m/>
    <m/>
    <m/>
    <m/>
    <m/>
    <m/>
    <m/>
    <m/>
    <m/>
    <m/>
    <m/>
    <m/>
    <m/>
    <m/>
    <n v="220.93864733397388"/>
    <m/>
    <m/>
    <m/>
    <m/>
    <m/>
    <m/>
    <m/>
  </r>
  <r>
    <x v="8"/>
    <x v="4"/>
    <m/>
    <m/>
    <m/>
    <m/>
    <m/>
    <m/>
    <m/>
    <m/>
    <m/>
    <m/>
    <m/>
    <m/>
    <m/>
    <m/>
    <m/>
    <n v="187.46338315161407"/>
    <m/>
    <m/>
    <m/>
    <m/>
    <m/>
    <m/>
    <m/>
  </r>
  <r>
    <x v="8"/>
    <x v="5"/>
    <m/>
    <m/>
    <m/>
    <m/>
    <m/>
    <m/>
    <m/>
    <m/>
    <m/>
    <m/>
    <m/>
    <m/>
    <m/>
    <m/>
    <m/>
    <n v="208.1475380608442"/>
    <m/>
    <m/>
    <m/>
    <m/>
    <m/>
    <m/>
    <m/>
  </r>
  <r>
    <x v="8"/>
    <x v="6"/>
    <m/>
    <m/>
    <m/>
    <m/>
    <m/>
    <m/>
    <m/>
    <m/>
    <m/>
    <m/>
    <m/>
    <m/>
    <m/>
    <m/>
    <m/>
    <n v="145.28988796629955"/>
    <m/>
    <m/>
    <m/>
    <m/>
    <m/>
    <m/>
    <m/>
  </r>
  <r>
    <x v="9"/>
    <x v="0"/>
    <m/>
    <m/>
    <m/>
    <m/>
    <m/>
    <m/>
    <m/>
    <m/>
    <m/>
    <m/>
    <m/>
    <m/>
    <m/>
    <m/>
    <m/>
    <n v="83.492410767198635"/>
    <m/>
    <m/>
    <m/>
    <m/>
    <m/>
    <m/>
    <m/>
  </r>
  <r>
    <x v="9"/>
    <x v="1"/>
    <m/>
    <m/>
    <m/>
    <m/>
    <m/>
    <m/>
    <m/>
    <m/>
    <m/>
    <m/>
    <m/>
    <m/>
    <m/>
    <m/>
    <m/>
    <n v="99.127826368875361"/>
    <m/>
    <m/>
    <m/>
    <m/>
    <m/>
    <m/>
    <m/>
  </r>
  <r>
    <x v="9"/>
    <x v="2"/>
    <m/>
    <m/>
    <m/>
    <m/>
    <m/>
    <m/>
    <m/>
    <m/>
    <m/>
    <m/>
    <m/>
    <m/>
    <m/>
    <m/>
    <m/>
    <n v="180.98378718133938"/>
    <m/>
    <m/>
    <m/>
    <m/>
    <m/>
    <m/>
    <m/>
  </r>
  <r>
    <x v="9"/>
    <x v="3"/>
    <m/>
    <m/>
    <m/>
    <m/>
    <m/>
    <m/>
    <m/>
    <m/>
    <m/>
    <m/>
    <m/>
    <m/>
    <m/>
    <m/>
    <m/>
    <n v="239.98166949812949"/>
    <m/>
    <m/>
    <m/>
    <m/>
    <m/>
    <m/>
    <m/>
  </r>
  <r>
    <x v="9"/>
    <x v="4"/>
    <m/>
    <m/>
    <m/>
    <m/>
    <m/>
    <m/>
    <m/>
    <m/>
    <m/>
    <m/>
    <m/>
    <m/>
    <m/>
    <m/>
    <m/>
    <n v="203.57896049485569"/>
    <m/>
    <m/>
    <m/>
    <m/>
    <m/>
    <m/>
    <m/>
  </r>
  <r>
    <x v="9"/>
    <x v="5"/>
    <m/>
    <m/>
    <m/>
    <m/>
    <m/>
    <m/>
    <m/>
    <m/>
    <m/>
    <m/>
    <m/>
    <m/>
    <m/>
    <m/>
    <m/>
    <n v="226.08509136884663"/>
    <m/>
    <m/>
    <m/>
    <m/>
    <m/>
    <m/>
    <m/>
  </r>
  <r>
    <x v="9"/>
    <x v="6"/>
    <m/>
    <m/>
    <m/>
    <m/>
    <m/>
    <m/>
    <m/>
    <m/>
    <m/>
    <m/>
    <m/>
    <m/>
    <m/>
    <m/>
    <m/>
    <n v="157.73123564475236"/>
    <m/>
    <m/>
    <m/>
    <m/>
    <m/>
    <m/>
    <m/>
  </r>
  <r>
    <x v="10"/>
    <x v="0"/>
    <m/>
    <m/>
    <m/>
    <m/>
    <m/>
    <m/>
    <m/>
    <m/>
    <m/>
    <m/>
    <m/>
    <m/>
    <m/>
    <m/>
    <m/>
    <n v="102.72392668059942"/>
    <m/>
    <m/>
    <m/>
    <m/>
    <m/>
    <m/>
    <m/>
  </r>
  <r>
    <x v="10"/>
    <x v="1"/>
    <m/>
    <m/>
    <m/>
    <m/>
    <m/>
    <m/>
    <m/>
    <m/>
    <m/>
    <m/>
    <m/>
    <m/>
    <m/>
    <m/>
    <m/>
    <n v="112.10076397610045"/>
    <m/>
    <m/>
    <m/>
    <m/>
    <m/>
    <m/>
    <m/>
  </r>
  <r>
    <x v="10"/>
    <x v="2"/>
    <m/>
    <m/>
    <m/>
    <m/>
    <m/>
    <m/>
    <m/>
    <m/>
    <m/>
    <m/>
    <m/>
    <m/>
    <m/>
    <m/>
    <m/>
    <n v="222.02600218342536"/>
    <m/>
    <m/>
    <m/>
    <m/>
    <m/>
    <m/>
    <m/>
  </r>
  <r>
    <x v="10"/>
    <x v="3"/>
    <m/>
    <m/>
    <m/>
    <m/>
    <m/>
    <m/>
    <m/>
    <m/>
    <m/>
    <m/>
    <m/>
    <m/>
    <m/>
    <m/>
    <m/>
    <n v="295.68100181502166"/>
    <m/>
    <m/>
    <m/>
    <m/>
    <m/>
    <m/>
    <m/>
  </r>
  <r>
    <x v="10"/>
    <x v="4"/>
    <m/>
    <m/>
    <m/>
    <m/>
    <m/>
    <m/>
    <m/>
    <m/>
    <m/>
    <m/>
    <m/>
    <m/>
    <m/>
    <m/>
    <m/>
    <n v="250.34868344892695"/>
    <m/>
    <m/>
    <m/>
    <m/>
    <m/>
    <m/>
    <m/>
  </r>
  <r>
    <x v="10"/>
    <x v="5"/>
    <m/>
    <m/>
    <m/>
    <m/>
    <m/>
    <m/>
    <m/>
    <m/>
    <m/>
    <m/>
    <m/>
    <m/>
    <m/>
    <m/>
    <m/>
    <n v="278.52503136437815"/>
    <m/>
    <m/>
    <m/>
    <m/>
    <m/>
    <m/>
    <m/>
  </r>
  <r>
    <x v="10"/>
    <x v="6"/>
    <m/>
    <m/>
    <m/>
    <m/>
    <m/>
    <m/>
    <m/>
    <m/>
    <m/>
    <m/>
    <m/>
    <m/>
    <m/>
    <m/>
    <m/>
    <n v="193.4125557829698"/>
    <m/>
    <m/>
    <m/>
    <m/>
    <m/>
    <m/>
    <m/>
  </r>
  <r>
    <x v="11"/>
    <x v="0"/>
    <m/>
    <m/>
    <m/>
    <m/>
    <m/>
    <m/>
    <m/>
    <m/>
    <m/>
    <m/>
    <m/>
    <m/>
    <m/>
    <m/>
    <m/>
    <n v="62.611600182478803"/>
    <m/>
    <m/>
    <m/>
    <m/>
    <m/>
    <m/>
    <m/>
  </r>
  <r>
    <x v="11"/>
    <x v="1"/>
    <m/>
    <m/>
    <m/>
    <m/>
    <m/>
    <m/>
    <m/>
    <m/>
    <m/>
    <m/>
    <m/>
    <m/>
    <m/>
    <m/>
    <m/>
    <n v="113.38364133236824"/>
    <m/>
    <m/>
    <m/>
    <m/>
    <m/>
    <m/>
    <m/>
  </r>
  <r>
    <x v="11"/>
    <x v="2"/>
    <m/>
    <m/>
    <m/>
    <m/>
    <m/>
    <m/>
    <m/>
    <m/>
    <m/>
    <m/>
    <m/>
    <m/>
    <m/>
    <m/>
    <m/>
    <n v="138.27667167777778"/>
    <m/>
    <m/>
    <m/>
    <m/>
    <m/>
    <m/>
    <m/>
  </r>
  <r>
    <x v="11"/>
    <x v="3"/>
    <m/>
    <m/>
    <m/>
    <m/>
    <m/>
    <m/>
    <m/>
    <m/>
    <m/>
    <m/>
    <m/>
    <m/>
    <m/>
    <m/>
    <m/>
    <n v="178.29166945367513"/>
    <m/>
    <m/>
    <m/>
    <m/>
    <m/>
    <m/>
    <m/>
  </r>
  <r>
    <x v="11"/>
    <x v="4"/>
    <m/>
    <m/>
    <m/>
    <m/>
    <m/>
    <m/>
    <m/>
    <m/>
    <m/>
    <m/>
    <m/>
    <m/>
    <m/>
    <m/>
    <m/>
    <n v="153.14993847094161"/>
    <m/>
    <m/>
    <m/>
    <m/>
    <m/>
    <m/>
    <m/>
  </r>
  <r>
    <x v="11"/>
    <x v="5"/>
    <m/>
    <m/>
    <m/>
    <m/>
    <m/>
    <m/>
    <m/>
    <m/>
    <m/>
    <m/>
    <m/>
    <m/>
    <m/>
    <m/>
    <m/>
    <n v="168.10208914516156"/>
    <m/>
    <m/>
    <m/>
    <m/>
    <m/>
    <m/>
    <m/>
  </r>
  <r>
    <x v="11"/>
    <x v="6"/>
    <m/>
    <m/>
    <m/>
    <m/>
    <m/>
    <m/>
    <m/>
    <m/>
    <m/>
    <m/>
    <m/>
    <m/>
    <m/>
    <m/>
    <m/>
    <n v="120.85895672248387"/>
    <m/>
    <m/>
    <m/>
    <m/>
    <m/>
    <m/>
    <m/>
  </r>
  <r>
    <x v="12"/>
    <x v="0"/>
    <m/>
    <m/>
    <m/>
    <m/>
    <m/>
    <m/>
    <m/>
    <m/>
    <m/>
    <m/>
    <m/>
    <m/>
    <m/>
    <m/>
    <m/>
    <n v="74.565365139230323"/>
    <m/>
    <m/>
    <m/>
    <m/>
    <m/>
    <m/>
    <m/>
  </r>
  <r>
    <x v="12"/>
    <x v="1"/>
    <m/>
    <m/>
    <m/>
    <m/>
    <m/>
    <m/>
    <m/>
    <m/>
    <m/>
    <m/>
    <m/>
    <m/>
    <m/>
    <m/>
    <m/>
    <n v="117.78254476016582"/>
    <m/>
    <m/>
    <m/>
    <m/>
    <m/>
    <m/>
    <m/>
  </r>
  <r>
    <x v="12"/>
    <x v="2"/>
    <m/>
    <m/>
    <m/>
    <m/>
    <m/>
    <m/>
    <m/>
    <m/>
    <m/>
    <m/>
    <m/>
    <m/>
    <m/>
    <m/>
    <m/>
    <n v="163.54750132610181"/>
    <m/>
    <m/>
    <m/>
    <m/>
    <m/>
    <m/>
    <m/>
  </r>
  <r>
    <x v="12"/>
    <x v="3"/>
    <m/>
    <m/>
    <m/>
    <m/>
    <m/>
    <m/>
    <m/>
    <m/>
    <m/>
    <m/>
    <m/>
    <m/>
    <m/>
    <m/>
    <m/>
    <n v="213.06975890824492"/>
    <m/>
    <m/>
    <m/>
    <m/>
    <m/>
    <m/>
    <m/>
  </r>
  <r>
    <x v="12"/>
    <x v="4"/>
    <m/>
    <m/>
    <m/>
    <m/>
    <m/>
    <m/>
    <m/>
    <m/>
    <m/>
    <m/>
    <m/>
    <m/>
    <m/>
    <m/>
    <m/>
    <n v="182.1751986732549"/>
    <m/>
    <m/>
    <m/>
    <m/>
    <m/>
    <m/>
    <m/>
  </r>
  <r>
    <x v="12"/>
    <x v="5"/>
    <m/>
    <m/>
    <m/>
    <m/>
    <m/>
    <m/>
    <m/>
    <m/>
    <m/>
    <m/>
    <m/>
    <m/>
    <m/>
    <m/>
    <m/>
    <n v="200.83249896978302"/>
    <m/>
    <m/>
    <m/>
    <m/>
    <m/>
    <m/>
    <m/>
  </r>
  <r>
    <x v="12"/>
    <x v="6"/>
    <m/>
    <m/>
    <m/>
    <m/>
    <m/>
    <m/>
    <m/>
    <m/>
    <m/>
    <m/>
    <m/>
    <m/>
    <m/>
    <m/>
    <m/>
    <n v="142.79577110152874"/>
    <m/>
    <m/>
    <m/>
    <m/>
    <m/>
    <m/>
    <m/>
  </r>
  <r>
    <x v="13"/>
    <x v="0"/>
    <m/>
    <m/>
    <m/>
    <m/>
    <m/>
    <m/>
    <m/>
    <m/>
    <m/>
    <m/>
    <m/>
    <m/>
    <m/>
    <m/>
    <m/>
    <n v="104.9218543382845"/>
    <m/>
    <m/>
    <m/>
    <m/>
    <m/>
    <m/>
    <m/>
  </r>
  <r>
    <x v="13"/>
    <x v="1"/>
    <m/>
    <m/>
    <m/>
    <m/>
    <m/>
    <m/>
    <m/>
    <m/>
    <m/>
    <m/>
    <m/>
    <m/>
    <m/>
    <m/>
    <m/>
    <n v="123.1542908106313"/>
    <m/>
    <m/>
    <m/>
    <m/>
    <m/>
    <m/>
    <m/>
  </r>
  <r>
    <x v="13"/>
    <x v="2"/>
    <m/>
    <m/>
    <m/>
    <m/>
    <m/>
    <m/>
    <m/>
    <m/>
    <m/>
    <m/>
    <m/>
    <m/>
    <m/>
    <m/>
    <m/>
    <n v="227.34302064161747"/>
    <m/>
    <m/>
    <m/>
    <m/>
    <m/>
    <m/>
    <m/>
  </r>
  <r>
    <x v="13"/>
    <x v="3"/>
    <m/>
    <m/>
    <m/>
    <m/>
    <m/>
    <m/>
    <m/>
    <m/>
    <m/>
    <m/>
    <m/>
    <m/>
    <m/>
    <m/>
    <m/>
    <n v="301.63682346778353"/>
    <m/>
    <m/>
    <m/>
    <m/>
    <m/>
    <m/>
    <m/>
  </r>
  <r>
    <x v="13"/>
    <x v="4"/>
    <m/>
    <m/>
    <m/>
    <m/>
    <m/>
    <m/>
    <m/>
    <m/>
    <m/>
    <m/>
    <m/>
    <m/>
    <m/>
    <m/>
    <m/>
    <n v="255.81265209012454"/>
    <m/>
    <m/>
    <m/>
    <m/>
    <m/>
    <m/>
    <m/>
  </r>
  <r>
    <x v="13"/>
    <x v="5"/>
    <m/>
    <m/>
    <m/>
    <m/>
    <m/>
    <m/>
    <m/>
    <m/>
    <m/>
    <m/>
    <m/>
    <m/>
    <m/>
    <m/>
    <m/>
    <n v="284.16510496865357"/>
    <m/>
    <m/>
    <m/>
    <m/>
    <m/>
    <m/>
    <m/>
  </r>
  <r>
    <x v="13"/>
    <x v="6"/>
    <m/>
    <m/>
    <m/>
    <m/>
    <m/>
    <m/>
    <m/>
    <m/>
    <m/>
    <m/>
    <m/>
    <m/>
    <m/>
    <m/>
    <m/>
    <n v="198.12168180567363"/>
    <m/>
    <m/>
    <m/>
    <m/>
    <m/>
    <m/>
    <m/>
  </r>
  <r>
    <x v="14"/>
    <x v="0"/>
    <m/>
    <m/>
    <m/>
    <m/>
    <m/>
    <m/>
    <m/>
    <m/>
    <m/>
    <m/>
    <m/>
    <m/>
    <m/>
    <m/>
    <m/>
    <n v="82.183149646306148"/>
    <m/>
    <m/>
    <m/>
    <m/>
    <m/>
    <m/>
    <m/>
  </r>
  <r>
    <x v="14"/>
    <x v="1"/>
    <m/>
    <m/>
    <m/>
    <m/>
    <m/>
    <m/>
    <m/>
    <m/>
    <m/>
    <m/>
    <m/>
    <m/>
    <m/>
    <m/>
    <m/>
    <n v="99.719848475674254"/>
    <m/>
    <m/>
    <m/>
    <m/>
    <m/>
    <m/>
    <m/>
  </r>
  <r>
    <x v="14"/>
    <x v="2"/>
    <m/>
    <m/>
    <m/>
    <m/>
    <m/>
    <m/>
    <m/>
    <m/>
    <m/>
    <m/>
    <m/>
    <m/>
    <m/>
    <m/>
    <m/>
    <n v="178.28622603571375"/>
    <m/>
    <m/>
    <m/>
    <m/>
    <m/>
    <m/>
    <m/>
  </r>
  <r>
    <x v="14"/>
    <x v="3"/>
    <m/>
    <m/>
    <m/>
    <m/>
    <m/>
    <m/>
    <m/>
    <m/>
    <m/>
    <m/>
    <m/>
    <m/>
    <m/>
    <m/>
    <m/>
    <n v="236.12653338682441"/>
    <m/>
    <m/>
    <m/>
    <m/>
    <m/>
    <m/>
    <m/>
  </r>
  <r>
    <x v="14"/>
    <x v="4"/>
    <m/>
    <m/>
    <m/>
    <m/>
    <m/>
    <m/>
    <m/>
    <m/>
    <m/>
    <m/>
    <m/>
    <m/>
    <m/>
    <m/>
    <m/>
    <n v="200.41323260210453"/>
    <m/>
    <m/>
    <m/>
    <m/>
    <m/>
    <m/>
    <m/>
  </r>
  <r>
    <x v="14"/>
    <x v="5"/>
    <m/>
    <m/>
    <m/>
    <m/>
    <m/>
    <m/>
    <m/>
    <m/>
    <m/>
    <m/>
    <m/>
    <m/>
    <m/>
    <m/>
    <m/>
    <n v="222.46060002212974"/>
    <m/>
    <m/>
    <m/>
    <m/>
    <m/>
    <m/>
    <m/>
  </r>
  <r>
    <x v="14"/>
    <x v="6"/>
    <m/>
    <m/>
    <m/>
    <m/>
    <m/>
    <m/>
    <m/>
    <m/>
    <m/>
    <m/>
    <m/>
    <m/>
    <m/>
    <m/>
    <m/>
    <n v="155.3993771951308"/>
    <m/>
    <m/>
    <m/>
    <m/>
    <m/>
    <m/>
    <m/>
  </r>
  <r>
    <x v="15"/>
    <x v="0"/>
    <m/>
    <m/>
    <m/>
    <m/>
    <m/>
    <m/>
    <m/>
    <m/>
    <m/>
    <m/>
    <m/>
    <m/>
    <m/>
    <m/>
    <m/>
    <n v="66.532825666055217"/>
    <m/>
    <m/>
    <m/>
    <m/>
    <m/>
    <m/>
    <m/>
  </r>
  <r>
    <x v="15"/>
    <x v="1"/>
    <m/>
    <m/>
    <m/>
    <m/>
    <m/>
    <m/>
    <m/>
    <m/>
    <m/>
    <m/>
    <m/>
    <m/>
    <m/>
    <m/>
    <m/>
    <n v="102.75860344383298"/>
    <m/>
    <m/>
    <m/>
    <m/>
    <m/>
    <m/>
    <m/>
  </r>
  <r>
    <x v="15"/>
    <x v="2"/>
    <m/>
    <m/>
    <m/>
    <m/>
    <m/>
    <m/>
    <m/>
    <m/>
    <m/>
    <m/>
    <m/>
    <m/>
    <m/>
    <m/>
    <m/>
    <n v="145.77650270513715"/>
    <m/>
    <m/>
    <m/>
    <m/>
    <m/>
    <m/>
    <m/>
  </r>
  <r>
    <x v="15"/>
    <x v="3"/>
    <m/>
    <m/>
    <m/>
    <m/>
    <m/>
    <m/>
    <m/>
    <m/>
    <m/>
    <m/>
    <m/>
    <m/>
    <m/>
    <m/>
    <m/>
    <n v="190.21690741777462"/>
    <m/>
    <m/>
    <m/>
    <m/>
    <m/>
    <m/>
    <m/>
  </r>
  <r>
    <x v="15"/>
    <x v="4"/>
    <m/>
    <m/>
    <m/>
    <m/>
    <m/>
    <m/>
    <m/>
    <m/>
    <m/>
    <m/>
    <m/>
    <m/>
    <m/>
    <m/>
    <m/>
    <n v="162.52142661588263"/>
    <m/>
    <m/>
    <m/>
    <m/>
    <m/>
    <m/>
    <m/>
  </r>
  <r>
    <x v="15"/>
    <x v="5"/>
    <m/>
    <m/>
    <m/>
    <m/>
    <m/>
    <m/>
    <m/>
    <m/>
    <m/>
    <m/>
    <m/>
    <m/>
    <m/>
    <m/>
    <m/>
    <n v="179.28405107659995"/>
    <m/>
    <m/>
    <m/>
    <m/>
    <m/>
    <m/>
    <m/>
  </r>
  <r>
    <x v="15"/>
    <x v="6"/>
    <m/>
    <m/>
    <m/>
    <m/>
    <m/>
    <m/>
    <m/>
    <m/>
    <m/>
    <m/>
    <m/>
    <m/>
    <m/>
    <m/>
    <m/>
    <n v="127.25907895699559"/>
    <m/>
    <m/>
    <m/>
    <m/>
    <m/>
    <m/>
    <m/>
  </r>
  <r>
    <x v="16"/>
    <x v="0"/>
    <m/>
    <m/>
    <m/>
    <m/>
    <m/>
    <m/>
    <m/>
    <m/>
    <m/>
    <m/>
    <m/>
    <m/>
    <m/>
    <m/>
    <m/>
    <n v="71.578483381207505"/>
    <m/>
    <m/>
    <m/>
    <m/>
    <m/>
    <m/>
    <m/>
  </r>
  <r>
    <x v="16"/>
    <x v="1"/>
    <m/>
    <m/>
    <m/>
    <m/>
    <m/>
    <m/>
    <m/>
    <m/>
    <m/>
    <m/>
    <m/>
    <m/>
    <m/>
    <m/>
    <m/>
    <n v="105.3899871927113"/>
    <m/>
    <m/>
    <m/>
    <m/>
    <m/>
    <m/>
    <m/>
  </r>
  <r>
    <x v="16"/>
    <x v="2"/>
    <m/>
    <m/>
    <m/>
    <m/>
    <m/>
    <m/>
    <m/>
    <m/>
    <m/>
    <m/>
    <m/>
    <m/>
    <m/>
    <m/>
    <m/>
    <n v="156.49396095465968"/>
    <m/>
    <m/>
    <m/>
    <m/>
    <m/>
    <m/>
    <m/>
  </r>
  <r>
    <x v="16"/>
    <x v="3"/>
    <m/>
    <m/>
    <m/>
    <m/>
    <m/>
    <m/>
    <m/>
    <m/>
    <m/>
    <m/>
    <m/>
    <m/>
    <m/>
    <m/>
    <m/>
    <n v="204.86348418116415"/>
    <m/>
    <m/>
    <m/>
    <m/>
    <m/>
    <m/>
    <m/>
  </r>
  <r>
    <x v="16"/>
    <x v="4"/>
    <m/>
    <m/>
    <m/>
    <m/>
    <m/>
    <m/>
    <m/>
    <m/>
    <m/>
    <m/>
    <m/>
    <m/>
    <m/>
    <m/>
    <m/>
    <n v="174.78253646369373"/>
    <m/>
    <m/>
    <m/>
    <m/>
    <m/>
    <m/>
    <m/>
  </r>
  <r>
    <x v="16"/>
    <x v="5"/>
    <m/>
    <m/>
    <m/>
    <m/>
    <m/>
    <m/>
    <m/>
    <m/>
    <m/>
    <m/>
    <m/>
    <m/>
    <m/>
    <m/>
    <m/>
    <n v="193.0709007169186"/>
    <m/>
    <m/>
    <m/>
    <m/>
    <m/>
    <m/>
    <m/>
  </r>
  <r>
    <x v="16"/>
    <x v="6"/>
    <m/>
    <m/>
    <m/>
    <m/>
    <m/>
    <m/>
    <m/>
    <m/>
    <m/>
    <m/>
    <m/>
    <m/>
    <m/>
    <m/>
    <m/>
    <n v="136.56964462039923"/>
    <m/>
    <m/>
    <m/>
    <m/>
    <m/>
    <m/>
    <m/>
  </r>
  <r>
    <x v="17"/>
    <x v="0"/>
    <m/>
    <m/>
    <m/>
    <m/>
    <m/>
    <m/>
    <m/>
    <m/>
    <m/>
    <m/>
    <m/>
    <m/>
    <m/>
    <m/>
    <m/>
    <n v="302.94878593558565"/>
    <m/>
    <m/>
    <m/>
    <m/>
    <m/>
    <m/>
    <m/>
  </r>
  <r>
    <x v="17"/>
    <x v="1"/>
    <m/>
    <m/>
    <m/>
    <m/>
    <m/>
    <m/>
    <m/>
    <m/>
    <m/>
    <m/>
    <m/>
    <m/>
    <m/>
    <m/>
    <m/>
    <n v="317.42180661132943"/>
    <m/>
    <m/>
    <m/>
    <m/>
    <m/>
    <m/>
    <m/>
  </r>
  <r>
    <x v="17"/>
    <x v="2"/>
    <m/>
    <m/>
    <m/>
    <m/>
    <m/>
    <m/>
    <m/>
    <m/>
    <m/>
    <m/>
    <m/>
    <m/>
    <m/>
    <m/>
    <m/>
    <n v="653.92645202877486"/>
    <m/>
    <m/>
    <m/>
    <m/>
    <m/>
    <m/>
    <m/>
  </r>
  <r>
    <x v="17"/>
    <x v="3"/>
    <m/>
    <m/>
    <m/>
    <m/>
    <m/>
    <m/>
    <m/>
    <m/>
    <m/>
    <m/>
    <m/>
    <m/>
    <m/>
    <m/>
    <m/>
    <n v="872.57366304874222"/>
    <m/>
    <m/>
    <m/>
    <m/>
    <m/>
    <m/>
    <m/>
  </r>
  <r>
    <x v="17"/>
    <x v="4"/>
    <m/>
    <m/>
    <m/>
    <m/>
    <m/>
    <m/>
    <m/>
    <m/>
    <m/>
    <m/>
    <m/>
    <m/>
    <m/>
    <m/>
    <m/>
    <n v="738.15352863161354"/>
    <m/>
    <m/>
    <m/>
    <m/>
    <m/>
    <m/>
    <m/>
  </r>
  <r>
    <x v="17"/>
    <x v="5"/>
    <m/>
    <m/>
    <m/>
    <m/>
    <m/>
    <m/>
    <m/>
    <m/>
    <m/>
    <m/>
    <m/>
    <m/>
    <m/>
    <m/>
    <m/>
    <n v="821.89987718010707"/>
    <m/>
    <m/>
    <m/>
    <m/>
    <m/>
    <m/>
    <m/>
  </r>
  <r>
    <x v="17"/>
    <x v="6"/>
    <m/>
    <m/>
    <m/>
    <m/>
    <m/>
    <m/>
    <m/>
    <m/>
    <m/>
    <m/>
    <m/>
    <m/>
    <m/>
    <m/>
    <m/>
    <n v="569.53436239470795"/>
    <m/>
    <m/>
    <m/>
    <m/>
    <m/>
    <m/>
    <m/>
  </r>
  <r>
    <x v="18"/>
    <x v="0"/>
    <m/>
    <m/>
    <m/>
    <m/>
    <m/>
    <m/>
    <m/>
    <m/>
    <m/>
    <m/>
    <m/>
    <m/>
    <m/>
    <m/>
    <m/>
    <n v="36.31230699983162"/>
    <m/>
    <m/>
    <m/>
    <m/>
    <m/>
    <m/>
    <m/>
  </r>
  <r>
    <x v="18"/>
    <x v="1"/>
    <m/>
    <m/>
    <m/>
    <m/>
    <m/>
    <m/>
    <m/>
    <m/>
    <m/>
    <m/>
    <m/>
    <m/>
    <m/>
    <m/>
    <m/>
    <n v="48.206919196397642"/>
    <m/>
    <m/>
    <m/>
    <m/>
    <m/>
    <m/>
    <m/>
  </r>
  <r>
    <x v="18"/>
    <x v="2"/>
    <m/>
    <m/>
    <m/>
    <m/>
    <m/>
    <m/>
    <m/>
    <m/>
    <m/>
    <m/>
    <m/>
    <m/>
    <m/>
    <m/>
    <m/>
    <n v="79.046432718522198"/>
    <m/>
    <m/>
    <m/>
    <m/>
    <m/>
    <m/>
    <m/>
  </r>
  <r>
    <x v="18"/>
    <x v="3"/>
    <m/>
    <m/>
    <m/>
    <m/>
    <m/>
    <m/>
    <m/>
    <m/>
    <m/>
    <m/>
    <m/>
    <m/>
    <m/>
    <m/>
    <m/>
    <n v="104.1540139138892"/>
    <m/>
    <m/>
    <m/>
    <m/>
    <m/>
    <m/>
    <m/>
  </r>
  <r>
    <x v="18"/>
    <x v="4"/>
    <m/>
    <m/>
    <m/>
    <m/>
    <m/>
    <m/>
    <m/>
    <m/>
    <m/>
    <m/>
    <m/>
    <m/>
    <m/>
    <m/>
    <m/>
    <n v="88.603258735551506"/>
    <m/>
    <m/>
    <m/>
    <m/>
    <m/>
    <m/>
    <m/>
  </r>
  <r>
    <x v="18"/>
    <x v="5"/>
    <m/>
    <m/>
    <m/>
    <m/>
    <m/>
    <m/>
    <m/>
    <m/>
    <m/>
    <m/>
    <m/>
    <m/>
    <m/>
    <m/>
    <m/>
    <n v="98.140362741712323"/>
    <m/>
    <m/>
    <m/>
    <m/>
    <m/>
    <m/>
    <m/>
  </r>
  <r>
    <x v="18"/>
    <x v="6"/>
    <m/>
    <m/>
    <m/>
    <m/>
    <m/>
    <m/>
    <m/>
    <m/>
    <m/>
    <m/>
    <m/>
    <m/>
    <m/>
    <m/>
    <m/>
    <n v="68.936043106436784"/>
    <m/>
    <m/>
    <m/>
    <m/>
    <m/>
    <m/>
    <m/>
  </r>
  <r>
    <x v="19"/>
    <x v="0"/>
    <m/>
    <m/>
    <m/>
    <m/>
    <m/>
    <m/>
    <m/>
    <m/>
    <m/>
    <m/>
    <m/>
    <m/>
    <m/>
    <m/>
    <m/>
    <n v="83.815035067069871"/>
    <m/>
    <m/>
    <m/>
    <m/>
    <m/>
    <m/>
    <m/>
  </r>
  <r>
    <x v="19"/>
    <x v="1"/>
    <m/>
    <m/>
    <m/>
    <m/>
    <m/>
    <m/>
    <m/>
    <m/>
    <m/>
    <m/>
    <m/>
    <m/>
    <m/>
    <m/>
    <m/>
    <n v="89.733220431836074"/>
    <m/>
    <m/>
    <m/>
    <m/>
    <m/>
    <m/>
    <m/>
  </r>
  <r>
    <x v="19"/>
    <x v="2"/>
    <m/>
    <m/>
    <m/>
    <m/>
    <m/>
    <m/>
    <m/>
    <m/>
    <m/>
    <m/>
    <m/>
    <m/>
    <m/>
    <m/>
    <m/>
    <n v="181.04320283205826"/>
    <m/>
    <m/>
    <m/>
    <m/>
    <m/>
    <m/>
    <m/>
  </r>
  <r>
    <x v="19"/>
    <x v="3"/>
    <m/>
    <m/>
    <m/>
    <m/>
    <m/>
    <m/>
    <m/>
    <m/>
    <m/>
    <m/>
    <m/>
    <m/>
    <m/>
    <m/>
    <m/>
    <n v="241.3277750406628"/>
    <m/>
    <m/>
    <m/>
    <m/>
    <m/>
    <m/>
    <m/>
  </r>
  <r>
    <x v="19"/>
    <x v="4"/>
    <m/>
    <m/>
    <m/>
    <m/>
    <m/>
    <m/>
    <m/>
    <m/>
    <m/>
    <m/>
    <m/>
    <m/>
    <m/>
    <m/>
    <m/>
    <n v="204.24428751563227"/>
    <m/>
    <m/>
    <m/>
    <m/>
    <m/>
    <m/>
    <m/>
  </r>
  <r>
    <x v="19"/>
    <x v="5"/>
    <m/>
    <m/>
    <m/>
    <m/>
    <m/>
    <m/>
    <m/>
    <m/>
    <m/>
    <m/>
    <m/>
    <m/>
    <m/>
    <m/>
    <m/>
    <n v="227.31951194295658"/>
    <m/>
    <m/>
    <m/>
    <m/>
    <m/>
    <m/>
    <m/>
  </r>
  <r>
    <x v="19"/>
    <x v="6"/>
    <m/>
    <m/>
    <m/>
    <m/>
    <m/>
    <m/>
    <m/>
    <m/>
    <m/>
    <m/>
    <m/>
    <m/>
    <m/>
    <m/>
    <m/>
    <n v="157.69590477173534"/>
    <m/>
    <m/>
    <m/>
    <m/>
    <m/>
    <m/>
    <m/>
  </r>
  <r>
    <x v="20"/>
    <x v="0"/>
    <m/>
    <m/>
    <m/>
    <m/>
    <m/>
    <m/>
    <m/>
    <m/>
    <m/>
    <m/>
    <m/>
    <m/>
    <m/>
    <m/>
    <m/>
    <n v="85.406090438725286"/>
    <m/>
    <m/>
    <m/>
    <m/>
    <m/>
    <m/>
    <m/>
  </r>
  <r>
    <x v="20"/>
    <x v="1"/>
    <m/>
    <m/>
    <m/>
    <m/>
    <m/>
    <m/>
    <m/>
    <m/>
    <m/>
    <m/>
    <m/>
    <m/>
    <m/>
    <m/>
    <m/>
    <n v="131.38335302940641"/>
    <m/>
    <m/>
    <m/>
    <m/>
    <m/>
    <m/>
    <m/>
  </r>
  <r>
    <x v="20"/>
    <x v="2"/>
    <m/>
    <m/>
    <m/>
    <m/>
    <m/>
    <m/>
    <m/>
    <m/>
    <m/>
    <m/>
    <m/>
    <m/>
    <m/>
    <m/>
    <m/>
    <n v="187.09436431413764"/>
    <m/>
    <m/>
    <m/>
    <m/>
    <m/>
    <m/>
    <m/>
  </r>
  <r>
    <x v="20"/>
    <x v="3"/>
    <m/>
    <m/>
    <m/>
    <m/>
    <m/>
    <m/>
    <m/>
    <m/>
    <m/>
    <m/>
    <m/>
    <m/>
    <m/>
    <m/>
    <m/>
    <n v="244.19791664276136"/>
    <m/>
    <m/>
    <m/>
    <m/>
    <m/>
    <m/>
    <m/>
  </r>
  <r>
    <x v="20"/>
    <x v="4"/>
    <m/>
    <m/>
    <m/>
    <m/>
    <m/>
    <m/>
    <m/>
    <m/>
    <m/>
    <m/>
    <m/>
    <m/>
    <m/>
    <m/>
    <m/>
    <n v="208.61712102712676"/>
    <m/>
    <m/>
    <m/>
    <m/>
    <m/>
    <m/>
    <m/>
  </r>
  <r>
    <x v="20"/>
    <x v="5"/>
    <m/>
    <m/>
    <m/>
    <m/>
    <m/>
    <m/>
    <m/>
    <m/>
    <m/>
    <m/>
    <m/>
    <m/>
    <m/>
    <m/>
    <m/>
    <n v="230.16064235513809"/>
    <m/>
    <m/>
    <m/>
    <m/>
    <m/>
    <m/>
    <m/>
  </r>
  <r>
    <x v="20"/>
    <x v="6"/>
    <m/>
    <m/>
    <m/>
    <m/>
    <m/>
    <m/>
    <m/>
    <m/>
    <m/>
    <m/>
    <m/>
    <m/>
    <m/>
    <m/>
    <m/>
    <n v="163.32386863048404"/>
    <m/>
    <m/>
    <m/>
    <m/>
    <m/>
    <m/>
    <m/>
  </r>
  <r>
    <x v="21"/>
    <x v="0"/>
    <m/>
    <m/>
    <m/>
    <m/>
    <m/>
    <m/>
    <m/>
    <m/>
    <m/>
    <m/>
    <m/>
    <m/>
    <m/>
    <m/>
    <m/>
    <n v="55.345952323459208"/>
    <m/>
    <m/>
    <m/>
    <m/>
    <m/>
    <m/>
    <m/>
  </r>
  <r>
    <x v="21"/>
    <x v="1"/>
    <m/>
    <m/>
    <m/>
    <m/>
    <m/>
    <m/>
    <m/>
    <m/>
    <m/>
    <m/>
    <m/>
    <m/>
    <m/>
    <m/>
    <m/>
    <n v="72.249461095389037"/>
    <m/>
    <m/>
    <m/>
    <m/>
    <m/>
    <m/>
    <m/>
  </r>
  <r>
    <x v="21"/>
    <x v="2"/>
    <m/>
    <m/>
    <m/>
    <m/>
    <m/>
    <m/>
    <m/>
    <m/>
    <m/>
    <m/>
    <m/>
    <m/>
    <m/>
    <m/>
    <m/>
    <n v="120.39958789065838"/>
    <m/>
    <m/>
    <m/>
    <m/>
    <m/>
    <m/>
    <m/>
  </r>
  <r>
    <x v="21"/>
    <x v="3"/>
    <m/>
    <m/>
    <m/>
    <m/>
    <m/>
    <m/>
    <m/>
    <m/>
    <m/>
    <m/>
    <m/>
    <m/>
    <m/>
    <m/>
    <m/>
    <n v="158.8004211746736"/>
    <m/>
    <m/>
    <m/>
    <m/>
    <m/>
    <m/>
    <m/>
  </r>
  <r>
    <x v="21"/>
    <x v="4"/>
    <m/>
    <m/>
    <m/>
    <m/>
    <m/>
    <m/>
    <m/>
    <m/>
    <m/>
    <m/>
    <m/>
    <m/>
    <m/>
    <m/>
    <m/>
    <n v="135.03078702564861"/>
    <m/>
    <m/>
    <m/>
    <m/>
    <m/>
    <m/>
    <m/>
  </r>
  <r>
    <x v="21"/>
    <x v="5"/>
    <m/>
    <m/>
    <m/>
    <m/>
    <m/>
    <m/>
    <m/>
    <m/>
    <m/>
    <m/>
    <m/>
    <m/>
    <m/>
    <m/>
    <m/>
    <n v="149.62735376808325"/>
    <m/>
    <m/>
    <m/>
    <m/>
    <m/>
    <m/>
    <m/>
  </r>
  <r>
    <x v="21"/>
    <x v="6"/>
    <m/>
    <m/>
    <m/>
    <m/>
    <m/>
    <m/>
    <m/>
    <m/>
    <m/>
    <m/>
    <m/>
    <m/>
    <m/>
    <m/>
    <m/>
    <n v="104.98907071632922"/>
    <m/>
    <m/>
    <m/>
    <m/>
    <m/>
    <m/>
    <m/>
  </r>
  <r>
    <x v="22"/>
    <x v="0"/>
    <m/>
    <m/>
    <m/>
    <m/>
    <m/>
    <m/>
    <m/>
    <m/>
    <m/>
    <m/>
    <m/>
    <m/>
    <m/>
    <m/>
    <m/>
    <n v="53.21030929858054"/>
    <m/>
    <m/>
    <m/>
    <m/>
    <m/>
    <m/>
    <m/>
  </r>
  <r>
    <x v="22"/>
    <x v="1"/>
    <m/>
    <m/>
    <m/>
    <m/>
    <m/>
    <m/>
    <m/>
    <m/>
    <m/>
    <m/>
    <m/>
    <m/>
    <m/>
    <m/>
    <m/>
    <n v="99.618777237885482"/>
    <m/>
    <m/>
    <m/>
    <m/>
    <m/>
    <m/>
    <m/>
  </r>
  <r>
    <x v="22"/>
    <x v="2"/>
    <m/>
    <m/>
    <m/>
    <m/>
    <m/>
    <m/>
    <m/>
    <m/>
    <m/>
    <m/>
    <m/>
    <m/>
    <m/>
    <m/>
    <m/>
    <n v="117.72743674815021"/>
    <m/>
    <m/>
    <m/>
    <m/>
    <m/>
    <m/>
    <m/>
  </r>
  <r>
    <x v="22"/>
    <x v="3"/>
    <m/>
    <m/>
    <m/>
    <m/>
    <m/>
    <m/>
    <m/>
    <m/>
    <m/>
    <m/>
    <m/>
    <m/>
    <m/>
    <m/>
    <m/>
    <n v="151.38109331320589"/>
    <m/>
    <m/>
    <m/>
    <m/>
    <m/>
    <m/>
    <m/>
  </r>
  <r>
    <x v="22"/>
    <x v="4"/>
    <m/>
    <m/>
    <m/>
    <m/>
    <m/>
    <m/>
    <m/>
    <m/>
    <m/>
    <m/>
    <m/>
    <m/>
    <m/>
    <m/>
    <m/>
    <n v="130.19453731136883"/>
    <m/>
    <m/>
    <m/>
    <m/>
    <m/>
    <m/>
    <m/>
  </r>
  <r>
    <x v="22"/>
    <x v="5"/>
    <m/>
    <m/>
    <m/>
    <m/>
    <m/>
    <m/>
    <m/>
    <m/>
    <m/>
    <m/>
    <m/>
    <m/>
    <m/>
    <m/>
    <m/>
    <n v="142.74083789855712"/>
    <m/>
    <m/>
    <m/>
    <m/>
    <m/>
    <m/>
    <m/>
  </r>
  <r>
    <x v="22"/>
    <x v="6"/>
    <m/>
    <m/>
    <m/>
    <m/>
    <m/>
    <m/>
    <m/>
    <m/>
    <m/>
    <m/>
    <m/>
    <m/>
    <m/>
    <m/>
    <m/>
    <n v="102.9266683337771"/>
    <m/>
    <m/>
    <m/>
    <m/>
    <m/>
    <m/>
    <m/>
  </r>
  <r>
    <x v="23"/>
    <x v="0"/>
    <m/>
    <m/>
    <m/>
    <m/>
    <m/>
    <m/>
    <m/>
    <m/>
    <m/>
    <m/>
    <m/>
    <m/>
    <m/>
    <m/>
    <m/>
    <n v="71.220542233290544"/>
    <m/>
    <m/>
    <m/>
    <m/>
    <m/>
    <m/>
    <m/>
  </r>
  <r>
    <x v="23"/>
    <x v="1"/>
    <m/>
    <m/>
    <m/>
    <m/>
    <m/>
    <m/>
    <m/>
    <m/>
    <m/>
    <m/>
    <m/>
    <m/>
    <m/>
    <m/>
    <m/>
    <n v="112.66140244834429"/>
    <m/>
    <m/>
    <m/>
    <m/>
    <m/>
    <m/>
    <m/>
  </r>
  <r>
    <x v="23"/>
    <x v="2"/>
    <m/>
    <m/>
    <m/>
    <m/>
    <m/>
    <m/>
    <m/>
    <m/>
    <m/>
    <m/>
    <m/>
    <m/>
    <m/>
    <m/>
    <m/>
    <n v="156.22177599629521"/>
    <m/>
    <m/>
    <m/>
    <m/>
    <m/>
    <m/>
    <m/>
  </r>
  <r>
    <x v="23"/>
    <x v="3"/>
    <m/>
    <m/>
    <m/>
    <m/>
    <m/>
    <m/>
    <m/>
    <m/>
    <m/>
    <m/>
    <m/>
    <m/>
    <m/>
    <m/>
    <m/>
    <n v="203.50501060374106"/>
    <m/>
    <m/>
    <m/>
    <m/>
    <m/>
    <m/>
    <m/>
  </r>
  <r>
    <x v="23"/>
    <x v="4"/>
    <m/>
    <m/>
    <m/>
    <m/>
    <m/>
    <m/>
    <m/>
    <m/>
    <m/>
    <m/>
    <m/>
    <m/>
    <m/>
    <m/>
    <m/>
    <n v="174.00527138541923"/>
    <m/>
    <m/>
    <m/>
    <m/>
    <m/>
    <m/>
    <m/>
  </r>
  <r>
    <x v="23"/>
    <x v="5"/>
    <m/>
    <m/>
    <m/>
    <m/>
    <m/>
    <m/>
    <m/>
    <m/>
    <m/>
    <m/>
    <m/>
    <m/>
    <m/>
    <m/>
    <m/>
    <n v="191.81764723506768"/>
    <m/>
    <m/>
    <m/>
    <m/>
    <m/>
    <m/>
    <m/>
  </r>
  <r>
    <x v="23"/>
    <x v="6"/>
    <m/>
    <m/>
    <m/>
    <m/>
    <m/>
    <m/>
    <m/>
    <m/>
    <m/>
    <m/>
    <m/>
    <m/>
    <m/>
    <m/>
    <m/>
    <n v="136.40099973781159"/>
    <m/>
    <m/>
    <m/>
    <m/>
    <m/>
    <m/>
    <m/>
  </r>
  <r>
    <x v="24"/>
    <x v="0"/>
    <m/>
    <m/>
    <m/>
    <m/>
    <m/>
    <m/>
    <m/>
    <m/>
    <m/>
    <m/>
    <m/>
    <m/>
    <m/>
    <m/>
    <m/>
    <n v="94.240511510475969"/>
    <m/>
    <m/>
    <m/>
    <m/>
    <m/>
    <m/>
    <m/>
  </r>
  <r>
    <x v="24"/>
    <x v="1"/>
    <m/>
    <m/>
    <m/>
    <m/>
    <m/>
    <m/>
    <m/>
    <m/>
    <m/>
    <m/>
    <m/>
    <m/>
    <m/>
    <m/>
    <m/>
    <n v="119.01295344393482"/>
    <m/>
    <m/>
    <m/>
    <m/>
    <m/>
    <m/>
    <m/>
  </r>
  <r>
    <x v="24"/>
    <x v="2"/>
    <m/>
    <m/>
    <m/>
    <m/>
    <m/>
    <m/>
    <m/>
    <m/>
    <m/>
    <m/>
    <m/>
    <m/>
    <m/>
    <m/>
    <m/>
    <n v="204.74836376477893"/>
    <m/>
    <m/>
    <m/>
    <m/>
    <m/>
    <m/>
    <m/>
  </r>
  <r>
    <x v="24"/>
    <x v="3"/>
    <m/>
    <m/>
    <m/>
    <m/>
    <m/>
    <m/>
    <m/>
    <m/>
    <m/>
    <m/>
    <m/>
    <m/>
    <m/>
    <m/>
    <m/>
    <n v="270.56972180832344"/>
    <m/>
    <m/>
    <m/>
    <m/>
    <m/>
    <m/>
    <m/>
  </r>
  <r>
    <x v="24"/>
    <x v="4"/>
    <m/>
    <m/>
    <m/>
    <m/>
    <m/>
    <m/>
    <m/>
    <m/>
    <m/>
    <m/>
    <m/>
    <m/>
    <m/>
    <m/>
    <m/>
    <n v="229.87438032370505"/>
    <m/>
    <m/>
    <m/>
    <m/>
    <m/>
    <m/>
    <m/>
  </r>
  <r>
    <x v="24"/>
    <x v="5"/>
    <m/>
    <m/>
    <m/>
    <m/>
    <m/>
    <m/>
    <m/>
    <m/>
    <m/>
    <m/>
    <m/>
    <m/>
    <m/>
    <m/>
    <m/>
    <n v="254.92646762985868"/>
    <m/>
    <m/>
    <m/>
    <m/>
    <m/>
    <m/>
    <m/>
  </r>
  <r>
    <x v="24"/>
    <x v="6"/>
    <m/>
    <m/>
    <m/>
    <m/>
    <m/>
    <m/>
    <m/>
    <m/>
    <m/>
    <m/>
    <m/>
    <m/>
    <m/>
    <m/>
    <m/>
    <n v="178.50604444109013"/>
    <m/>
    <m/>
    <m/>
    <m/>
    <m/>
    <m/>
    <m/>
  </r>
  <r>
    <x v="25"/>
    <x v="0"/>
    <m/>
    <m/>
    <m/>
    <m/>
    <m/>
    <m/>
    <m/>
    <m/>
    <m/>
    <m/>
    <m/>
    <m/>
    <m/>
    <m/>
    <m/>
    <n v="63.568492900824651"/>
    <m/>
    <m/>
    <m/>
    <m/>
    <m/>
    <m/>
    <m/>
  </r>
  <r>
    <x v="25"/>
    <x v="1"/>
    <m/>
    <m/>
    <m/>
    <m/>
    <m/>
    <m/>
    <m/>
    <m/>
    <m/>
    <m/>
    <m/>
    <m/>
    <m/>
    <m/>
    <m/>
    <n v="84.268067835693699"/>
    <m/>
    <m/>
    <m/>
    <m/>
    <m/>
    <m/>
    <m/>
  </r>
  <r>
    <x v="25"/>
    <x v="2"/>
    <m/>
    <m/>
    <m/>
    <m/>
    <m/>
    <m/>
    <m/>
    <m/>
    <m/>
    <m/>
    <m/>
    <m/>
    <m/>
    <m/>
    <m/>
    <n v="138.37098899257748"/>
    <m/>
    <m/>
    <m/>
    <m/>
    <m/>
    <m/>
    <m/>
  </r>
  <r>
    <x v="25"/>
    <x v="3"/>
    <m/>
    <m/>
    <m/>
    <m/>
    <m/>
    <m/>
    <m/>
    <m/>
    <m/>
    <m/>
    <m/>
    <m/>
    <m/>
    <m/>
    <m/>
    <n v="182.33777570177256"/>
    <m/>
    <m/>
    <m/>
    <m/>
    <m/>
    <m/>
    <m/>
  </r>
  <r>
    <x v="25"/>
    <x v="4"/>
    <m/>
    <m/>
    <m/>
    <m/>
    <m/>
    <m/>
    <m/>
    <m/>
    <m/>
    <m/>
    <m/>
    <m/>
    <m/>
    <m/>
    <m/>
    <n v="155.1077467423469"/>
    <m/>
    <m/>
    <m/>
    <m/>
    <m/>
    <m/>
    <m/>
  </r>
  <r>
    <x v="25"/>
    <x v="5"/>
    <m/>
    <m/>
    <m/>
    <m/>
    <m/>
    <m/>
    <m/>
    <m/>
    <m/>
    <m/>
    <m/>
    <m/>
    <m/>
    <m/>
    <m/>
    <n v="171.80951951682613"/>
    <m/>
    <m/>
    <m/>
    <m/>
    <m/>
    <m/>
    <m/>
  </r>
  <r>
    <x v="25"/>
    <x v="6"/>
    <m/>
    <m/>
    <m/>
    <m/>
    <m/>
    <m/>
    <m/>
    <m/>
    <m/>
    <m/>
    <m/>
    <m/>
    <m/>
    <m/>
    <m/>
    <n v="120.67163240295343"/>
    <m/>
    <m/>
    <m/>
    <m/>
    <m/>
    <m/>
    <m/>
  </r>
  <r>
    <x v="26"/>
    <x v="0"/>
    <m/>
    <m/>
    <m/>
    <m/>
    <m/>
    <m/>
    <m/>
    <m/>
    <m/>
    <m/>
    <m/>
    <m/>
    <m/>
    <m/>
    <m/>
    <n v="46.709899899951907"/>
    <m/>
    <m/>
    <m/>
    <m/>
    <m/>
    <m/>
    <m/>
  </r>
  <r>
    <x v="26"/>
    <x v="1"/>
    <m/>
    <m/>
    <m/>
    <m/>
    <m/>
    <m/>
    <m/>
    <m/>
    <m/>
    <m/>
    <m/>
    <m/>
    <m/>
    <m/>
    <m/>
    <n v="52.330951201442936"/>
    <m/>
    <m/>
    <m/>
    <m/>
    <m/>
    <m/>
    <m/>
  </r>
  <r>
    <x v="26"/>
    <x v="2"/>
    <m/>
    <m/>
    <m/>
    <m/>
    <m/>
    <m/>
    <m/>
    <m/>
    <m/>
    <m/>
    <m/>
    <m/>
    <m/>
    <m/>
    <m/>
    <n v="101.04693004703869"/>
    <m/>
    <m/>
    <m/>
    <m/>
    <m/>
    <m/>
    <m/>
  </r>
  <r>
    <x v="26"/>
    <x v="3"/>
    <m/>
    <m/>
    <m/>
    <m/>
    <m/>
    <m/>
    <m/>
    <m/>
    <m/>
    <m/>
    <m/>
    <m/>
    <m/>
    <m/>
    <m/>
    <n v="134.39184700318887"/>
    <m/>
    <m/>
    <m/>
    <m/>
    <m/>
    <m/>
    <m/>
  </r>
  <r>
    <x v="26"/>
    <x v="4"/>
    <m/>
    <m/>
    <m/>
    <m/>
    <m/>
    <m/>
    <m/>
    <m/>
    <m/>
    <m/>
    <m/>
    <m/>
    <m/>
    <m/>
    <m/>
    <n v="113.85363055732802"/>
    <m/>
    <m/>
    <m/>
    <m/>
    <m/>
    <m/>
    <m/>
  </r>
  <r>
    <x v="26"/>
    <x v="5"/>
    <m/>
    <m/>
    <m/>
    <m/>
    <m/>
    <m/>
    <m/>
    <m/>
    <m/>
    <m/>
    <m/>
    <m/>
    <m/>
    <m/>
    <m/>
    <n v="126.59885449312306"/>
    <m/>
    <m/>
    <m/>
    <m/>
    <m/>
    <m/>
    <m/>
  </r>
  <r>
    <x v="26"/>
    <x v="6"/>
    <m/>
    <m/>
    <m/>
    <m/>
    <m/>
    <m/>
    <m/>
    <m/>
    <m/>
    <m/>
    <m/>
    <m/>
    <m/>
    <m/>
    <m/>
    <n v="88.036705014048749"/>
    <m/>
    <m/>
    <m/>
    <m/>
    <m/>
    <m/>
    <m/>
  </r>
  <r>
    <x v="27"/>
    <x v="0"/>
    <m/>
    <m/>
    <m/>
    <m/>
    <m/>
    <m/>
    <m/>
    <m/>
    <m/>
    <m/>
    <m/>
    <m/>
    <m/>
    <m/>
    <m/>
    <n v="97.232508839538141"/>
    <m/>
    <m/>
    <m/>
    <m/>
    <m/>
    <m/>
    <m/>
  </r>
  <r>
    <x v="27"/>
    <x v="1"/>
    <m/>
    <m/>
    <m/>
    <m/>
    <m/>
    <m/>
    <m/>
    <m/>
    <m/>
    <m/>
    <m/>
    <m/>
    <m/>
    <m/>
    <m/>
    <n v="144.27978322326331"/>
    <m/>
    <m/>
    <m/>
    <m/>
    <m/>
    <m/>
    <m/>
  </r>
  <r>
    <x v="27"/>
    <x v="2"/>
    <m/>
    <m/>
    <m/>
    <m/>
    <m/>
    <m/>
    <m/>
    <m/>
    <m/>
    <m/>
    <m/>
    <m/>
    <m/>
    <m/>
    <m/>
    <n v="217.96574162798302"/>
    <m/>
    <m/>
    <m/>
    <m/>
    <m/>
    <m/>
    <m/>
  </r>
  <r>
    <x v="27"/>
    <x v="3"/>
    <m/>
    <m/>
    <m/>
    <m/>
    <m/>
    <m/>
    <m/>
    <m/>
    <m/>
    <m/>
    <m/>
    <m/>
    <m/>
    <m/>
    <m/>
    <n v="274.76414185170228"/>
    <m/>
    <m/>
    <m/>
    <m/>
    <m/>
    <m/>
    <m/>
  </r>
  <r>
    <x v="27"/>
    <x v="4"/>
    <m/>
    <m/>
    <m/>
    <m/>
    <m/>
    <m/>
    <m/>
    <m/>
    <m/>
    <m/>
    <m/>
    <m/>
    <m/>
    <m/>
    <m/>
    <n v="238.4460334133276"/>
    <m/>
    <m/>
    <m/>
    <m/>
    <m/>
    <m/>
    <m/>
  </r>
  <r>
    <x v="27"/>
    <x v="5"/>
    <m/>
    <m/>
    <m/>
    <m/>
    <m/>
    <m/>
    <m/>
    <m/>
    <m/>
    <m/>
    <m/>
    <m/>
    <m/>
    <m/>
    <m/>
    <n v="259.23289148630221"/>
    <m/>
    <m/>
    <m/>
    <m/>
    <m/>
    <m/>
    <m/>
  </r>
  <r>
    <x v="27"/>
    <x v="6"/>
    <m/>
    <m/>
    <m/>
    <m/>
    <m/>
    <m/>
    <m/>
    <m/>
    <m/>
    <m/>
    <m/>
    <m/>
    <m/>
    <m/>
    <m/>
    <n v="190.94165750848737"/>
    <m/>
    <m/>
    <m/>
    <m/>
    <m/>
    <m/>
    <m/>
  </r>
  <r>
    <x v="0"/>
    <x v="0"/>
    <m/>
    <m/>
    <m/>
    <m/>
    <m/>
    <m/>
    <m/>
    <m/>
    <m/>
    <m/>
    <m/>
    <m/>
    <m/>
    <m/>
    <n v="50.738755120521304"/>
    <m/>
    <m/>
    <m/>
    <m/>
    <m/>
    <m/>
    <m/>
    <m/>
  </r>
  <r>
    <x v="0"/>
    <x v="1"/>
    <m/>
    <m/>
    <m/>
    <m/>
    <m/>
    <m/>
    <m/>
    <m/>
    <m/>
    <m/>
    <m/>
    <m/>
    <m/>
    <m/>
    <n v="52.034525667220002"/>
    <m/>
    <m/>
    <m/>
    <m/>
    <m/>
    <m/>
    <m/>
    <m/>
  </r>
  <r>
    <x v="0"/>
    <x v="2"/>
    <m/>
    <m/>
    <m/>
    <m/>
    <m/>
    <m/>
    <m/>
    <m/>
    <m/>
    <m/>
    <m/>
    <m/>
    <m/>
    <m/>
    <n v="108.75440462098101"/>
    <m/>
    <m/>
    <m/>
    <m/>
    <m/>
    <m/>
    <m/>
    <m/>
  </r>
  <r>
    <x v="0"/>
    <x v="3"/>
    <m/>
    <m/>
    <m/>
    <m/>
    <m/>
    <m/>
    <m/>
    <m/>
    <m/>
    <m/>
    <m/>
    <m/>
    <m/>
    <m/>
    <n v="146.64323839502552"/>
    <m/>
    <m/>
    <m/>
    <m/>
    <m/>
    <m/>
    <m/>
    <m/>
  </r>
  <r>
    <x v="0"/>
    <x v="4"/>
    <m/>
    <m/>
    <m/>
    <m/>
    <m/>
    <m/>
    <m/>
    <m/>
    <m/>
    <m/>
    <m/>
    <m/>
    <m/>
    <m/>
    <n v="123.48268621421022"/>
    <m/>
    <m/>
    <m/>
    <m/>
    <m/>
    <m/>
    <m/>
    <m/>
  </r>
  <r>
    <x v="0"/>
    <x v="5"/>
    <m/>
    <m/>
    <m/>
    <m/>
    <m/>
    <m/>
    <m/>
    <m/>
    <m/>
    <m/>
    <m/>
    <m/>
    <m/>
    <m/>
    <n v="138.08673047001716"/>
    <m/>
    <m/>
    <m/>
    <m/>
    <m/>
    <m/>
    <m/>
    <m/>
  </r>
  <r>
    <x v="0"/>
    <x v="6"/>
    <m/>
    <m/>
    <m/>
    <m/>
    <m/>
    <m/>
    <m/>
    <m/>
    <m/>
    <m/>
    <m/>
    <m/>
    <m/>
    <m/>
    <n v="94.61429968706318"/>
    <m/>
    <m/>
    <m/>
    <m/>
    <m/>
    <m/>
    <m/>
    <m/>
  </r>
  <r>
    <x v="1"/>
    <x v="0"/>
    <m/>
    <m/>
    <m/>
    <m/>
    <m/>
    <m/>
    <m/>
    <m/>
    <m/>
    <m/>
    <m/>
    <m/>
    <m/>
    <m/>
    <n v="55.063833571696065"/>
    <m/>
    <m/>
    <m/>
    <m/>
    <m/>
    <m/>
    <m/>
    <m/>
  </r>
  <r>
    <x v="1"/>
    <x v="1"/>
    <m/>
    <m/>
    <m/>
    <m/>
    <m/>
    <m/>
    <m/>
    <m/>
    <m/>
    <m/>
    <m/>
    <m/>
    <m/>
    <m/>
    <n v="57.941044369698943"/>
    <m/>
    <m/>
    <m/>
    <m/>
    <m/>
    <m/>
    <m/>
    <m/>
  </r>
  <r>
    <x v="1"/>
    <x v="2"/>
    <m/>
    <m/>
    <m/>
    <m/>
    <m/>
    <m/>
    <m/>
    <m/>
    <m/>
    <m/>
    <m/>
    <m/>
    <m/>
    <m/>
    <n v="117.33410085439807"/>
    <m/>
    <m/>
    <m/>
    <m/>
    <m/>
    <m/>
    <m/>
    <m/>
  </r>
  <r>
    <x v="1"/>
    <x v="3"/>
    <m/>
    <m/>
    <m/>
    <m/>
    <m/>
    <m/>
    <m/>
    <m/>
    <m/>
    <m/>
    <m/>
    <m/>
    <m/>
    <m/>
    <n v="159.59547194675264"/>
    <m/>
    <m/>
    <m/>
    <m/>
    <m/>
    <m/>
    <m/>
    <m/>
  </r>
  <r>
    <x v="1"/>
    <x v="4"/>
    <m/>
    <m/>
    <m/>
    <m/>
    <m/>
    <m/>
    <m/>
    <m/>
    <m/>
    <m/>
    <m/>
    <m/>
    <m/>
    <m/>
    <n v="133.87764778372002"/>
    <m/>
    <m/>
    <m/>
    <m/>
    <m/>
    <m/>
    <m/>
    <m/>
  </r>
  <r>
    <x v="1"/>
    <x v="5"/>
    <m/>
    <m/>
    <m/>
    <m/>
    <m/>
    <m/>
    <m/>
    <m/>
    <m/>
    <m/>
    <m/>
    <m/>
    <m/>
    <m/>
    <n v="150.24699612137198"/>
    <m/>
    <m/>
    <m/>
    <m/>
    <m/>
    <m/>
    <m/>
    <m/>
  </r>
  <r>
    <x v="1"/>
    <x v="6"/>
    <m/>
    <m/>
    <m/>
    <m/>
    <m/>
    <m/>
    <m/>
    <m/>
    <m/>
    <m/>
    <m/>
    <m/>
    <m/>
    <m/>
    <n v="101.98337867481308"/>
    <m/>
    <m/>
    <m/>
    <m/>
    <m/>
    <m/>
    <m/>
    <m/>
  </r>
  <r>
    <x v="2"/>
    <x v="0"/>
    <m/>
    <m/>
    <m/>
    <m/>
    <m/>
    <m/>
    <m/>
    <m/>
    <m/>
    <m/>
    <m/>
    <m/>
    <m/>
    <m/>
    <n v="17.139948105803558"/>
    <m/>
    <m/>
    <m/>
    <m/>
    <m/>
    <m/>
    <m/>
    <m/>
  </r>
  <r>
    <x v="2"/>
    <x v="1"/>
    <m/>
    <m/>
    <m/>
    <m/>
    <m/>
    <m/>
    <m/>
    <m/>
    <m/>
    <m/>
    <m/>
    <m/>
    <m/>
    <m/>
    <n v="25.104778723853727"/>
    <m/>
    <m/>
    <m/>
    <m/>
    <m/>
    <m/>
    <m/>
    <m/>
  </r>
  <r>
    <x v="2"/>
    <x v="2"/>
    <m/>
    <m/>
    <m/>
    <m/>
    <m/>
    <m/>
    <m/>
    <m/>
    <m/>
    <m/>
    <m/>
    <m/>
    <m/>
    <m/>
    <n v="33.203442259871103"/>
    <m/>
    <m/>
    <m/>
    <m/>
    <m/>
    <m/>
    <m/>
    <m/>
  </r>
  <r>
    <x v="2"/>
    <x v="3"/>
    <m/>
    <m/>
    <m/>
    <m/>
    <m/>
    <m/>
    <m/>
    <m/>
    <m/>
    <m/>
    <m/>
    <m/>
    <m/>
    <m/>
    <n v="51.850419109943985"/>
    <m/>
    <m/>
    <m/>
    <m/>
    <m/>
    <m/>
    <m/>
    <m/>
  </r>
  <r>
    <x v="2"/>
    <x v="4"/>
    <m/>
    <m/>
    <m/>
    <m/>
    <m/>
    <m/>
    <m/>
    <m/>
    <m/>
    <m/>
    <m/>
    <m/>
    <m/>
    <m/>
    <n v="41.043272837503146"/>
    <m/>
    <m/>
    <m/>
    <m/>
    <m/>
    <m/>
    <m/>
    <m/>
  </r>
  <r>
    <x v="2"/>
    <x v="5"/>
    <m/>
    <m/>
    <m/>
    <m/>
    <m/>
    <m/>
    <m/>
    <m/>
    <m/>
    <m/>
    <m/>
    <m/>
    <m/>
    <m/>
    <n v="48.639671684716582"/>
    <m/>
    <m/>
    <m/>
    <m/>
    <m/>
    <m/>
    <m/>
    <m/>
  </r>
  <r>
    <x v="2"/>
    <x v="6"/>
    <m/>
    <m/>
    <m/>
    <m/>
    <m/>
    <m/>
    <m/>
    <m/>
    <m/>
    <m/>
    <m/>
    <m/>
    <m/>
    <m/>
    <n v="28.399761224271128"/>
    <m/>
    <m/>
    <m/>
    <m/>
    <m/>
    <m/>
    <m/>
    <m/>
  </r>
  <r>
    <x v="3"/>
    <x v="0"/>
    <m/>
    <m/>
    <m/>
    <m/>
    <m/>
    <m/>
    <m/>
    <m/>
    <m/>
    <m/>
    <m/>
    <m/>
    <m/>
    <m/>
    <n v="24.634183495056586"/>
    <m/>
    <m/>
    <m/>
    <m/>
    <m/>
    <m/>
    <m/>
    <m/>
  </r>
  <r>
    <x v="3"/>
    <x v="1"/>
    <m/>
    <m/>
    <m/>
    <m/>
    <m/>
    <m/>
    <m/>
    <m/>
    <m/>
    <m/>
    <m/>
    <m/>
    <m/>
    <m/>
    <n v="31.33192214515153"/>
    <m/>
    <m/>
    <m/>
    <m/>
    <m/>
    <m/>
    <m/>
    <m/>
  </r>
  <r>
    <x v="3"/>
    <x v="2"/>
    <m/>
    <m/>
    <m/>
    <m/>
    <m/>
    <m/>
    <m/>
    <m/>
    <m/>
    <m/>
    <m/>
    <m/>
    <m/>
    <m/>
    <n v="49.951613696629174"/>
    <m/>
    <m/>
    <m/>
    <m/>
    <m/>
    <m/>
    <m/>
    <m/>
  </r>
  <r>
    <x v="3"/>
    <x v="3"/>
    <m/>
    <m/>
    <m/>
    <m/>
    <m/>
    <m/>
    <m/>
    <m/>
    <m/>
    <m/>
    <m/>
    <m/>
    <m/>
    <m/>
    <n v="73.061764277422853"/>
    <m/>
    <m/>
    <m/>
    <m/>
    <m/>
    <m/>
    <m/>
    <m/>
  </r>
  <r>
    <x v="3"/>
    <x v="4"/>
    <m/>
    <m/>
    <m/>
    <m/>
    <m/>
    <m/>
    <m/>
    <m/>
    <m/>
    <m/>
    <m/>
    <m/>
    <m/>
    <m/>
    <n v="59.41181023114639"/>
    <m/>
    <m/>
    <m/>
    <m/>
    <m/>
    <m/>
    <m/>
    <m/>
  </r>
  <r>
    <x v="3"/>
    <x v="5"/>
    <m/>
    <m/>
    <m/>
    <m/>
    <m/>
    <m/>
    <m/>
    <m/>
    <m/>
    <m/>
    <m/>
    <m/>
    <m/>
    <m/>
    <n v="68.649261170688845"/>
    <m/>
    <m/>
    <m/>
    <m/>
    <m/>
    <m/>
    <m/>
    <m/>
  </r>
  <r>
    <x v="3"/>
    <x v="6"/>
    <m/>
    <m/>
    <m/>
    <m/>
    <m/>
    <m/>
    <m/>
    <m/>
    <m/>
    <m/>
    <m/>
    <m/>
    <m/>
    <m/>
    <n v="43.064645331492059"/>
    <m/>
    <m/>
    <m/>
    <m/>
    <m/>
    <m/>
    <m/>
    <m/>
  </r>
  <r>
    <x v="4"/>
    <x v="0"/>
    <m/>
    <m/>
    <m/>
    <m/>
    <m/>
    <m/>
    <m/>
    <m/>
    <m/>
    <m/>
    <m/>
    <m/>
    <m/>
    <m/>
    <n v="32.669565596155799"/>
    <m/>
    <m/>
    <m/>
    <m/>
    <m/>
    <m/>
    <m/>
    <m/>
  </r>
  <r>
    <x v="4"/>
    <x v="1"/>
    <m/>
    <m/>
    <m/>
    <m/>
    <m/>
    <m/>
    <m/>
    <m/>
    <m/>
    <m/>
    <m/>
    <m/>
    <m/>
    <m/>
    <n v="35.430090095810726"/>
    <m/>
    <m/>
    <m/>
    <m/>
    <m/>
    <m/>
    <m/>
    <m/>
  </r>
  <r>
    <x v="4"/>
    <x v="2"/>
    <m/>
    <m/>
    <m/>
    <m/>
    <m/>
    <m/>
    <m/>
    <m/>
    <m/>
    <m/>
    <m/>
    <m/>
    <m/>
    <m/>
    <n v="69.120038169970869"/>
    <m/>
    <m/>
    <m/>
    <m/>
    <m/>
    <m/>
    <m/>
    <m/>
  </r>
  <r>
    <x v="4"/>
    <x v="3"/>
    <m/>
    <m/>
    <m/>
    <m/>
    <m/>
    <m/>
    <m/>
    <m/>
    <m/>
    <m/>
    <m/>
    <m/>
    <m/>
    <m/>
    <n v="95.012298025321186"/>
    <m/>
    <m/>
    <m/>
    <m/>
    <m/>
    <m/>
    <m/>
    <m/>
  </r>
  <r>
    <x v="4"/>
    <x v="4"/>
    <m/>
    <m/>
    <m/>
    <m/>
    <m/>
    <m/>
    <m/>
    <m/>
    <m/>
    <m/>
    <m/>
    <m/>
    <m/>
    <m/>
    <n v="79.336287257668346"/>
    <m/>
    <m/>
    <m/>
    <m/>
    <m/>
    <m/>
    <m/>
    <m/>
  </r>
  <r>
    <x v="4"/>
    <x v="5"/>
    <m/>
    <m/>
    <m/>
    <m/>
    <m/>
    <m/>
    <m/>
    <m/>
    <m/>
    <m/>
    <m/>
    <m/>
    <m/>
    <m/>
    <n v="89.42098766949448"/>
    <m/>
    <m/>
    <m/>
    <m/>
    <m/>
    <m/>
    <m/>
    <m/>
  </r>
  <r>
    <x v="4"/>
    <x v="6"/>
    <m/>
    <m/>
    <m/>
    <m/>
    <m/>
    <m/>
    <m/>
    <m/>
    <m/>
    <m/>
    <m/>
    <m/>
    <m/>
    <m/>
    <n v="60.008616015722154"/>
    <m/>
    <m/>
    <m/>
    <m/>
    <m/>
    <m/>
    <m/>
    <m/>
  </r>
  <r>
    <x v="5"/>
    <x v="0"/>
    <m/>
    <m/>
    <m/>
    <m/>
    <m/>
    <m/>
    <m/>
    <m/>
    <m/>
    <m/>
    <m/>
    <m/>
    <m/>
    <m/>
    <n v="38.522228618908471"/>
    <m/>
    <m/>
    <m/>
    <m/>
    <m/>
    <m/>
    <m/>
    <m/>
  </r>
  <r>
    <x v="5"/>
    <x v="1"/>
    <m/>
    <m/>
    <m/>
    <m/>
    <m/>
    <m/>
    <m/>
    <m/>
    <m/>
    <m/>
    <m/>
    <m/>
    <m/>
    <m/>
    <n v="41.457739122531997"/>
    <m/>
    <m/>
    <m/>
    <m/>
    <m/>
    <m/>
    <m/>
    <m/>
  </r>
  <r>
    <x v="5"/>
    <x v="2"/>
    <m/>
    <m/>
    <m/>
    <m/>
    <m/>
    <m/>
    <m/>
    <m/>
    <m/>
    <m/>
    <m/>
    <m/>
    <m/>
    <m/>
    <n v="81.652762466917551"/>
    <m/>
    <m/>
    <m/>
    <m/>
    <m/>
    <m/>
    <m/>
    <m/>
  </r>
  <r>
    <x v="5"/>
    <x v="3"/>
    <m/>
    <m/>
    <m/>
    <m/>
    <m/>
    <m/>
    <m/>
    <m/>
    <m/>
    <m/>
    <m/>
    <m/>
    <m/>
    <m/>
    <n v="111.93528690668491"/>
    <m/>
    <m/>
    <m/>
    <m/>
    <m/>
    <m/>
    <m/>
    <m/>
  </r>
  <r>
    <x v="5"/>
    <x v="4"/>
    <m/>
    <m/>
    <m/>
    <m/>
    <m/>
    <m/>
    <m/>
    <m/>
    <m/>
    <m/>
    <m/>
    <m/>
    <m/>
    <m/>
    <n v="93.577615552339893"/>
    <m/>
    <m/>
    <m/>
    <m/>
    <m/>
    <m/>
    <m/>
    <m/>
  </r>
  <r>
    <x v="5"/>
    <x v="5"/>
    <m/>
    <m/>
    <m/>
    <m/>
    <m/>
    <m/>
    <m/>
    <m/>
    <m/>
    <m/>
    <m/>
    <m/>
    <m/>
    <m/>
    <n v="105.35590626383205"/>
    <m/>
    <m/>
    <m/>
    <m/>
    <m/>
    <m/>
    <m/>
    <m/>
  </r>
  <r>
    <x v="5"/>
    <x v="6"/>
    <m/>
    <m/>
    <m/>
    <m/>
    <m/>
    <m/>
    <m/>
    <m/>
    <m/>
    <m/>
    <m/>
    <m/>
    <m/>
    <m/>
    <n v="70.910202118301314"/>
    <m/>
    <m/>
    <m/>
    <m/>
    <m/>
    <m/>
    <m/>
    <m/>
  </r>
  <r>
    <x v="6"/>
    <x v="0"/>
    <m/>
    <m/>
    <m/>
    <m/>
    <m/>
    <m/>
    <m/>
    <m/>
    <m/>
    <m/>
    <m/>
    <m/>
    <m/>
    <m/>
    <n v="34.565623671418905"/>
    <m/>
    <m/>
    <m/>
    <m/>
    <m/>
    <m/>
    <m/>
    <m/>
  </r>
  <r>
    <x v="6"/>
    <x v="1"/>
    <m/>
    <m/>
    <m/>
    <m/>
    <m/>
    <m/>
    <m/>
    <m/>
    <m/>
    <m/>
    <m/>
    <m/>
    <m/>
    <m/>
    <n v="35.684004256331946"/>
    <m/>
    <m/>
    <m/>
    <m/>
    <m/>
    <m/>
    <m/>
    <m/>
  </r>
  <r>
    <x v="6"/>
    <x v="2"/>
    <m/>
    <m/>
    <m/>
    <m/>
    <m/>
    <m/>
    <m/>
    <m/>
    <m/>
    <m/>
    <m/>
    <m/>
    <m/>
    <m/>
    <n v="73.977955385727284"/>
    <m/>
    <m/>
    <m/>
    <m/>
    <m/>
    <m/>
    <m/>
    <m/>
  </r>
  <r>
    <x v="6"/>
    <x v="3"/>
    <m/>
    <m/>
    <m/>
    <m/>
    <m/>
    <m/>
    <m/>
    <m/>
    <m/>
    <m/>
    <m/>
    <m/>
    <m/>
    <m/>
    <n v="99.972678973453824"/>
    <m/>
    <m/>
    <m/>
    <m/>
    <m/>
    <m/>
    <m/>
    <m/>
  </r>
  <r>
    <x v="6"/>
    <x v="4"/>
    <m/>
    <m/>
    <m/>
    <m/>
    <m/>
    <m/>
    <m/>
    <m/>
    <m/>
    <m/>
    <m/>
    <m/>
    <m/>
    <m/>
    <n v="84.101227741179216"/>
    <m/>
    <m/>
    <m/>
    <m/>
    <m/>
    <m/>
    <m/>
    <m/>
  </r>
  <r>
    <x v="6"/>
    <x v="5"/>
    <m/>
    <m/>
    <m/>
    <m/>
    <m/>
    <m/>
    <m/>
    <m/>
    <m/>
    <m/>
    <m/>
    <m/>
    <m/>
    <m/>
    <n v="94.133556849712164"/>
    <m/>
    <m/>
    <m/>
    <m/>
    <m/>
    <m/>
    <m/>
    <m/>
  </r>
  <r>
    <x v="6"/>
    <x v="6"/>
    <m/>
    <m/>
    <m/>
    <m/>
    <m/>
    <m/>
    <m/>
    <m/>
    <m/>
    <m/>
    <m/>
    <m/>
    <m/>
    <m/>
    <n v="64.344205009540673"/>
    <m/>
    <m/>
    <m/>
    <m/>
    <m/>
    <m/>
    <m/>
    <m/>
  </r>
  <r>
    <x v="7"/>
    <x v="0"/>
    <m/>
    <m/>
    <m/>
    <m/>
    <m/>
    <m/>
    <m/>
    <m/>
    <m/>
    <m/>
    <m/>
    <m/>
    <m/>
    <m/>
    <n v="30.557875943676905"/>
    <m/>
    <m/>
    <m/>
    <m/>
    <m/>
    <m/>
    <m/>
    <m/>
  </r>
  <r>
    <x v="7"/>
    <x v="1"/>
    <m/>
    <m/>
    <m/>
    <m/>
    <m/>
    <m/>
    <m/>
    <m/>
    <m/>
    <m/>
    <m/>
    <m/>
    <m/>
    <m/>
    <n v="33.369997155798117"/>
    <m/>
    <m/>
    <m/>
    <m/>
    <m/>
    <m/>
    <m/>
    <m/>
  </r>
  <r>
    <x v="7"/>
    <x v="2"/>
    <m/>
    <m/>
    <m/>
    <m/>
    <m/>
    <m/>
    <m/>
    <m/>
    <m/>
    <m/>
    <m/>
    <m/>
    <m/>
    <m/>
    <n v="64.544249289137625"/>
    <m/>
    <m/>
    <m/>
    <m/>
    <m/>
    <m/>
    <m/>
    <m/>
  </r>
  <r>
    <x v="7"/>
    <x v="3"/>
    <m/>
    <m/>
    <m/>
    <m/>
    <m/>
    <m/>
    <m/>
    <m/>
    <m/>
    <m/>
    <m/>
    <m/>
    <m/>
    <m/>
    <n v="88.941601541217381"/>
    <m/>
    <m/>
    <m/>
    <m/>
    <m/>
    <m/>
    <m/>
    <m/>
  </r>
  <r>
    <x v="7"/>
    <x v="4"/>
    <m/>
    <m/>
    <m/>
    <m/>
    <m/>
    <m/>
    <m/>
    <m/>
    <m/>
    <m/>
    <m/>
    <m/>
    <m/>
    <m/>
    <n v="74.187682410414652"/>
    <m/>
    <m/>
    <m/>
    <m/>
    <m/>
    <m/>
    <m/>
    <m/>
  </r>
  <r>
    <x v="7"/>
    <x v="5"/>
    <m/>
    <m/>
    <m/>
    <m/>
    <m/>
    <m/>
    <m/>
    <m/>
    <m/>
    <m/>
    <m/>
    <m/>
    <m/>
    <m/>
    <n v="83.701913086612024"/>
    <m/>
    <m/>
    <m/>
    <m/>
    <m/>
    <m/>
    <m/>
    <m/>
  </r>
  <r>
    <x v="7"/>
    <x v="6"/>
    <m/>
    <m/>
    <m/>
    <m/>
    <m/>
    <m/>
    <m/>
    <m/>
    <m/>
    <m/>
    <m/>
    <m/>
    <m/>
    <m/>
    <n v="56.020943197482573"/>
    <m/>
    <m/>
    <m/>
    <m/>
    <m/>
    <m/>
    <m/>
    <m/>
  </r>
  <r>
    <x v="8"/>
    <x v="0"/>
    <m/>
    <m/>
    <m/>
    <m/>
    <m/>
    <m/>
    <m/>
    <m/>
    <m/>
    <m/>
    <m/>
    <m/>
    <m/>
    <m/>
    <n v="35.263192026950485"/>
    <m/>
    <m/>
    <m/>
    <m/>
    <m/>
    <m/>
    <m/>
    <m/>
  </r>
  <r>
    <x v="8"/>
    <x v="1"/>
    <m/>
    <m/>
    <m/>
    <m/>
    <m/>
    <m/>
    <m/>
    <m/>
    <m/>
    <m/>
    <m/>
    <m/>
    <m/>
    <m/>
    <n v="37.380727120930977"/>
    <m/>
    <m/>
    <m/>
    <m/>
    <m/>
    <m/>
    <m/>
    <m/>
  </r>
  <r>
    <x v="8"/>
    <x v="2"/>
    <m/>
    <m/>
    <m/>
    <m/>
    <m/>
    <m/>
    <m/>
    <m/>
    <m/>
    <m/>
    <m/>
    <m/>
    <m/>
    <m/>
    <n v="75.012310359517997"/>
    <m/>
    <m/>
    <m/>
    <m/>
    <m/>
    <m/>
    <m/>
    <m/>
  </r>
  <r>
    <x v="8"/>
    <x v="3"/>
    <m/>
    <m/>
    <m/>
    <m/>
    <m/>
    <m/>
    <m/>
    <m/>
    <m/>
    <m/>
    <m/>
    <m/>
    <m/>
    <m/>
    <n v="102.29034436648729"/>
    <m/>
    <m/>
    <m/>
    <m/>
    <m/>
    <m/>
    <m/>
    <m/>
  </r>
  <r>
    <x v="8"/>
    <x v="4"/>
    <m/>
    <m/>
    <m/>
    <m/>
    <m/>
    <m/>
    <m/>
    <m/>
    <m/>
    <m/>
    <m/>
    <m/>
    <m/>
    <m/>
    <n v="85.711527407355916"/>
    <m/>
    <m/>
    <m/>
    <m/>
    <m/>
    <m/>
    <m/>
    <m/>
  </r>
  <r>
    <x v="8"/>
    <x v="5"/>
    <m/>
    <m/>
    <m/>
    <m/>
    <m/>
    <m/>
    <m/>
    <m/>
    <m/>
    <m/>
    <m/>
    <m/>
    <m/>
    <m/>
    <n v="96.291827560043799"/>
    <m/>
    <m/>
    <m/>
    <m/>
    <m/>
    <m/>
    <m/>
    <m/>
  </r>
  <r>
    <x v="8"/>
    <x v="6"/>
    <m/>
    <m/>
    <m/>
    <m/>
    <m/>
    <m/>
    <m/>
    <m/>
    <m/>
    <m/>
    <m/>
    <m/>
    <m/>
    <m/>
    <n v="65.180632776868549"/>
    <m/>
    <m/>
    <m/>
    <m/>
    <m/>
    <m/>
    <m/>
    <m/>
  </r>
  <r>
    <x v="9"/>
    <x v="0"/>
    <m/>
    <m/>
    <m/>
    <m/>
    <m/>
    <m/>
    <m/>
    <m/>
    <m/>
    <m/>
    <m/>
    <m/>
    <m/>
    <m/>
    <n v="38.477477383248782"/>
    <m/>
    <m/>
    <m/>
    <m/>
    <m/>
    <m/>
    <m/>
    <m/>
  </r>
  <r>
    <x v="9"/>
    <x v="1"/>
    <m/>
    <m/>
    <m/>
    <m/>
    <m/>
    <m/>
    <m/>
    <m/>
    <m/>
    <m/>
    <m/>
    <m/>
    <m/>
    <m/>
    <n v="40.656629383482475"/>
    <m/>
    <m/>
    <m/>
    <m/>
    <m/>
    <m/>
    <m/>
    <m/>
  </r>
  <r>
    <x v="9"/>
    <x v="2"/>
    <m/>
    <m/>
    <m/>
    <m/>
    <m/>
    <m/>
    <m/>
    <m/>
    <m/>
    <m/>
    <m/>
    <m/>
    <m/>
    <m/>
    <n v="81.911482589749525"/>
    <m/>
    <m/>
    <m/>
    <m/>
    <m/>
    <m/>
    <m/>
    <m/>
  </r>
  <r>
    <x v="9"/>
    <x v="3"/>
    <m/>
    <m/>
    <m/>
    <m/>
    <m/>
    <m/>
    <m/>
    <m/>
    <m/>
    <m/>
    <m/>
    <m/>
    <m/>
    <m/>
    <n v="111.57386014816211"/>
    <m/>
    <m/>
    <m/>
    <m/>
    <m/>
    <m/>
    <m/>
    <m/>
  </r>
  <r>
    <x v="9"/>
    <x v="4"/>
    <m/>
    <m/>
    <m/>
    <m/>
    <m/>
    <m/>
    <m/>
    <m/>
    <m/>
    <m/>
    <m/>
    <m/>
    <m/>
    <m/>
    <n v="93.535942046542743"/>
    <m/>
    <m/>
    <m/>
    <m/>
    <m/>
    <m/>
    <m/>
    <m/>
  </r>
  <r>
    <x v="9"/>
    <x v="5"/>
    <m/>
    <m/>
    <m/>
    <m/>
    <m/>
    <m/>
    <m/>
    <m/>
    <m/>
    <m/>
    <m/>
    <m/>
    <m/>
    <m/>
    <n v="105.03416208356451"/>
    <m/>
    <m/>
    <m/>
    <m/>
    <m/>
    <m/>
    <m/>
    <m/>
  </r>
  <r>
    <x v="9"/>
    <x v="6"/>
    <m/>
    <m/>
    <m/>
    <m/>
    <m/>
    <m/>
    <m/>
    <m/>
    <m/>
    <m/>
    <m/>
    <m/>
    <m/>
    <m/>
    <n v="71.184107021552421"/>
    <m/>
    <m/>
    <m/>
    <m/>
    <m/>
    <m/>
    <m/>
    <m/>
  </r>
  <r>
    <x v="10"/>
    <x v="0"/>
    <m/>
    <m/>
    <m/>
    <m/>
    <m/>
    <m/>
    <m/>
    <m/>
    <m/>
    <m/>
    <m/>
    <m/>
    <m/>
    <m/>
    <n v="49.401648923121797"/>
    <m/>
    <m/>
    <m/>
    <m/>
    <m/>
    <m/>
    <m/>
    <m/>
  </r>
  <r>
    <x v="10"/>
    <x v="1"/>
    <m/>
    <m/>
    <m/>
    <m/>
    <m/>
    <m/>
    <m/>
    <m/>
    <m/>
    <m/>
    <m/>
    <m/>
    <m/>
    <m/>
    <n v="50.708525201240406"/>
    <m/>
    <m/>
    <m/>
    <m/>
    <m/>
    <m/>
    <m/>
    <m/>
  </r>
  <r>
    <x v="10"/>
    <x v="2"/>
    <m/>
    <m/>
    <m/>
    <m/>
    <m/>
    <m/>
    <m/>
    <m/>
    <m/>
    <m/>
    <m/>
    <m/>
    <m/>
    <m/>
    <n v="105.86717574662066"/>
    <m/>
    <m/>
    <m/>
    <m/>
    <m/>
    <m/>
    <m/>
    <m/>
  </r>
  <r>
    <x v="10"/>
    <x v="3"/>
    <m/>
    <m/>
    <m/>
    <m/>
    <m/>
    <m/>
    <m/>
    <m/>
    <m/>
    <m/>
    <m/>
    <m/>
    <m/>
    <m/>
    <n v="142.79269128327769"/>
    <m/>
    <m/>
    <m/>
    <m/>
    <m/>
    <m/>
    <m/>
    <m/>
  </r>
  <r>
    <x v="10"/>
    <x v="4"/>
    <m/>
    <m/>
    <m/>
    <m/>
    <m/>
    <m/>
    <m/>
    <m/>
    <m/>
    <m/>
    <m/>
    <m/>
    <m/>
    <m/>
    <n v="120.22454782108925"/>
    <m/>
    <m/>
    <m/>
    <m/>
    <m/>
    <m/>
    <m/>
    <m/>
  </r>
  <r>
    <x v="10"/>
    <x v="5"/>
    <m/>
    <m/>
    <m/>
    <m/>
    <m/>
    <m/>
    <m/>
    <m/>
    <m/>
    <m/>
    <m/>
    <m/>
    <m/>
    <m/>
    <n v="134.45974536010317"/>
    <m/>
    <m/>
    <m/>
    <m/>
    <m/>
    <m/>
    <m/>
    <m/>
  </r>
  <r>
    <x v="10"/>
    <x v="6"/>
    <m/>
    <m/>
    <m/>
    <m/>
    <m/>
    <m/>
    <m/>
    <m/>
    <m/>
    <m/>
    <m/>
    <m/>
    <m/>
    <m/>
    <n v="92.099539011116818"/>
    <m/>
    <m/>
    <m/>
    <m/>
    <m/>
    <m/>
    <m/>
    <m/>
  </r>
  <r>
    <x v="11"/>
    <x v="0"/>
    <m/>
    <m/>
    <m/>
    <m/>
    <m/>
    <m/>
    <m/>
    <m/>
    <m/>
    <m/>
    <m/>
    <m/>
    <m/>
    <m/>
    <n v="20.691436087778193"/>
    <m/>
    <m/>
    <m/>
    <m/>
    <m/>
    <m/>
    <m/>
    <m/>
  </r>
  <r>
    <x v="11"/>
    <x v="1"/>
    <m/>
    <m/>
    <m/>
    <m/>
    <m/>
    <m/>
    <m/>
    <m/>
    <m/>
    <m/>
    <m/>
    <m/>
    <m/>
    <m/>
    <n v="27.767678756752332"/>
    <m/>
    <m/>
    <m/>
    <m/>
    <m/>
    <m/>
    <m/>
    <m/>
  </r>
  <r>
    <x v="11"/>
    <x v="2"/>
    <m/>
    <m/>
    <m/>
    <m/>
    <m/>
    <m/>
    <m/>
    <m/>
    <m/>
    <m/>
    <m/>
    <m/>
    <m/>
    <m/>
    <n v="41.275630329803221"/>
    <m/>
    <m/>
    <m/>
    <m/>
    <m/>
    <m/>
    <m/>
    <m/>
  </r>
  <r>
    <x v="11"/>
    <x v="3"/>
    <m/>
    <m/>
    <m/>
    <m/>
    <m/>
    <m/>
    <m/>
    <m/>
    <m/>
    <m/>
    <m/>
    <m/>
    <m/>
    <m/>
    <n v="61.813847417924961"/>
    <m/>
    <m/>
    <m/>
    <m/>
    <m/>
    <m/>
    <m/>
    <m/>
  </r>
  <r>
    <x v="11"/>
    <x v="4"/>
    <m/>
    <m/>
    <m/>
    <m/>
    <m/>
    <m/>
    <m/>
    <m/>
    <m/>
    <m/>
    <m/>
    <m/>
    <m/>
    <m/>
    <n v="49.773700126731264"/>
    <m/>
    <m/>
    <m/>
    <m/>
    <m/>
    <m/>
    <m/>
    <m/>
  </r>
  <r>
    <x v="11"/>
    <x v="5"/>
    <m/>
    <m/>
    <m/>
    <m/>
    <m/>
    <m/>
    <m/>
    <m/>
    <m/>
    <m/>
    <m/>
    <m/>
    <m/>
    <m/>
    <n v="58.045852764100822"/>
    <m/>
    <m/>
    <m/>
    <m/>
    <m/>
    <m/>
    <m/>
    <m/>
  </r>
  <r>
    <x v="11"/>
    <x v="6"/>
    <m/>
    <m/>
    <m/>
    <m/>
    <m/>
    <m/>
    <m/>
    <m/>
    <m/>
    <m/>
    <m/>
    <m/>
    <m/>
    <m/>
    <n v="35.485722953108116"/>
    <m/>
    <m/>
    <m/>
    <m/>
    <m/>
    <m/>
    <m/>
    <m/>
  </r>
  <r>
    <x v="12"/>
    <x v="0"/>
    <m/>
    <m/>
    <m/>
    <m/>
    <m/>
    <m/>
    <m/>
    <m/>
    <m/>
    <m/>
    <m/>
    <m/>
    <m/>
    <m/>
    <n v="28.247732126214014"/>
    <m/>
    <m/>
    <m/>
    <m/>
    <m/>
    <m/>
    <m/>
    <m/>
  </r>
  <r>
    <x v="12"/>
    <x v="1"/>
    <m/>
    <m/>
    <m/>
    <m/>
    <m/>
    <m/>
    <m/>
    <m/>
    <m/>
    <m/>
    <m/>
    <m/>
    <m/>
    <m/>
    <n v="34.27103242181478"/>
    <m/>
    <m/>
    <m/>
    <m/>
    <m/>
    <m/>
    <m/>
    <m/>
  </r>
  <r>
    <x v="12"/>
    <x v="2"/>
    <m/>
    <m/>
    <m/>
    <m/>
    <m/>
    <m/>
    <m/>
    <m/>
    <m/>
    <m/>
    <m/>
    <m/>
    <m/>
    <m/>
    <n v="58.057005749122901"/>
    <m/>
    <m/>
    <m/>
    <m/>
    <m/>
    <m/>
    <m/>
    <m/>
  </r>
  <r>
    <x v="12"/>
    <x v="3"/>
    <m/>
    <m/>
    <m/>
    <m/>
    <m/>
    <m/>
    <m/>
    <m/>
    <m/>
    <m/>
    <m/>
    <m/>
    <m/>
    <m/>
    <n v="83.269882062364502"/>
    <m/>
    <m/>
    <m/>
    <m/>
    <m/>
    <m/>
    <m/>
    <m/>
  </r>
  <r>
    <x v="12"/>
    <x v="4"/>
    <m/>
    <m/>
    <m/>
    <m/>
    <m/>
    <m/>
    <m/>
    <m/>
    <m/>
    <m/>
    <m/>
    <m/>
    <m/>
    <m/>
    <n v="68.274349467039556"/>
    <m/>
    <m/>
    <m/>
    <m/>
    <m/>
    <m/>
    <m/>
    <m/>
  </r>
  <r>
    <x v="12"/>
    <x v="5"/>
    <m/>
    <m/>
    <m/>
    <m/>
    <m/>
    <m/>
    <m/>
    <m/>
    <m/>
    <m/>
    <m/>
    <m/>
    <m/>
    <m/>
    <n v="78.280620898558681"/>
    <m/>
    <m/>
    <m/>
    <m/>
    <m/>
    <m/>
    <m/>
    <m/>
  </r>
  <r>
    <x v="12"/>
    <x v="6"/>
    <m/>
    <m/>
    <m/>
    <m/>
    <m/>
    <m/>
    <m/>
    <m/>
    <m/>
    <m/>
    <m/>
    <m/>
    <m/>
    <m/>
    <n v="50.165752008771669"/>
    <m/>
    <m/>
    <m/>
    <m/>
    <m/>
    <m/>
    <m/>
    <m/>
  </r>
  <r>
    <x v="13"/>
    <x v="0"/>
    <m/>
    <m/>
    <m/>
    <m/>
    <m/>
    <m/>
    <m/>
    <m/>
    <m/>
    <m/>
    <m/>
    <m/>
    <m/>
    <m/>
    <n v="48.649267976317148"/>
    <m/>
    <m/>
    <m/>
    <m/>
    <m/>
    <m/>
    <m/>
    <m/>
  </r>
  <r>
    <x v="13"/>
    <x v="1"/>
    <m/>
    <m/>
    <m/>
    <m/>
    <m/>
    <m/>
    <m/>
    <m/>
    <m/>
    <m/>
    <m/>
    <m/>
    <m/>
    <m/>
    <n v="51.190374104867225"/>
    <m/>
    <m/>
    <m/>
    <m/>
    <m/>
    <m/>
    <m/>
    <m/>
  </r>
  <r>
    <x v="13"/>
    <x v="2"/>
    <m/>
    <m/>
    <m/>
    <m/>
    <m/>
    <m/>
    <m/>
    <m/>
    <m/>
    <m/>
    <m/>
    <m/>
    <m/>
    <m/>
    <n v="103.66590493964281"/>
    <m/>
    <m/>
    <m/>
    <m/>
    <m/>
    <m/>
    <m/>
    <m/>
  </r>
  <r>
    <x v="13"/>
    <x v="3"/>
    <m/>
    <m/>
    <m/>
    <m/>
    <m/>
    <m/>
    <m/>
    <m/>
    <m/>
    <m/>
    <m/>
    <m/>
    <m/>
    <m/>
    <n v="141.00338931236709"/>
    <m/>
    <m/>
    <m/>
    <m/>
    <m/>
    <m/>
    <m/>
    <m/>
  </r>
  <r>
    <x v="13"/>
    <x v="4"/>
    <m/>
    <m/>
    <m/>
    <m/>
    <m/>
    <m/>
    <m/>
    <m/>
    <m/>
    <m/>
    <m/>
    <m/>
    <m/>
    <m/>
    <n v="118.28188658317887"/>
    <m/>
    <m/>
    <m/>
    <m/>
    <m/>
    <m/>
    <m/>
    <m/>
  </r>
  <r>
    <x v="13"/>
    <x v="5"/>
    <m/>
    <m/>
    <m/>
    <m/>
    <m/>
    <m/>
    <m/>
    <m/>
    <m/>
    <m/>
    <m/>
    <m/>
    <m/>
    <m/>
    <n v="132.74398746190525"/>
    <m/>
    <m/>
    <m/>
    <m/>
    <m/>
    <m/>
    <m/>
    <m/>
  </r>
  <r>
    <x v="13"/>
    <x v="6"/>
    <m/>
    <m/>
    <m/>
    <m/>
    <m/>
    <m/>
    <m/>
    <m/>
    <m/>
    <m/>
    <m/>
    <m/>
    <m/>
    <m/>
    <n v="90.103441799697805"/>
    <m/>
    <m/>
    <m/>
    <m/>
    <m/>
    <m/>
    <m/>
    <m/>
  </r>
  <r>
    <x v="14"/>
    <x v="0"/>
    <m/>
    <m/>
    <m/>
    <m/>
    <m/>
    <m/>
    <m/>
    <m/>
    <m/>
    <m/>
    <m/>
    <m/>
    <m/>
    <m/>
    <n v="37.425366008651032"/>
    <m/>
    <m/>
    <m/>
    <m/>
    <m/>
    <m/>
    <m/>
    <m/>
  </r>
  <r>
    <x v="14"/>
    <x v="1"/>
    <m/>
    <m/>
    <m/>
    <m/>
    <m/>
    <m/>
    <m/>
    <m/>
    <m/>
    <m/>
    <m/>
    <m/>
    <m/>
    <m/>
    <n v="39.869505218319055"/>
    <m/>
    <m/>
    <m/>
    <m/>
    <m/>
    <m/>
    <m/>
    <m/>
  </r>
  <r>
    <x v="14"/>
    <x v="2"/>
    <m/>
    <m/>
    <m/>
    <m/>
    <m/>
    <m/>
    <m/>
    <m/>
    <m/>
    <m/>
    <m/>
    <m/>
    <m/>
    <m/>
    <n v="79.519314879789022"/>
    <m/>
    <m/>
    <m/>
    <m/>
    <m/>
    <m/>
    <m/>
    <m/>
  </r>
  <r>
    <x v="14"/>
    <x v="3"/>
    <m/>
    <m/>
    <m/>
    <m/>
    <m/>
    <m/>
    <m/>
    <m/>
    <m/>
    <m/>
    <m/>
    <m/>
    <m/>
    <m/>
    <n v="108.62277899606944"/>
    <m/>
    <m/>
    <m/>
    <m/>
    <m/>
    <m/>
    <m/>
    <m/>
  </r>
  <r>
    <x v="14"/>
    <x v="4"/>
    <m/>
    <m/>
    <m/>
    <m/>
    <m/>
    <m/>
    <m/>
    <m/>
    <m/>
    <m/>
    <m/>
    <m/>
    <m/>
    <m/>
    <n v="90.949439044434612"/>
    <m/>
    <m/>
    <m/>
    <m/>
    <m/>
    <m/>
    <m/>
    <m/>
  </r>
  <r>
    <x v="14"/>
    <x v="5"/>
    <m/>
    <m/>
    <m/>
    <m/>
    <m/>
    <m/>
    <m/>
    <m/>
    <m/>
    <m/>
    <m/>
    <m/>
    <m/>
    <m/>
    <n v="102.24808841553487"/>
    <m/>
    <m/>
    <m/>
    <m/>
    <m/>
    <m/>
    <m/>
    <m/>
  </r>
  <r>
    <x v="14"/>
    <x v="6"/>
    <m/>
    <m/>
    <m/>
    <m/>
    <m/>
    <m/>
    <m/>
    <m/>
    <m/>
    <m/>
    <m/>
    <m/>
    <m/>
    <m/>
    <n v="69.084097883485612"/>
    <m/>
    <m/>
    <m/>
    <m/>
    <m/>
    <m/>
    <m/>
    <m/>
  </r>
  <r>
    <x v="15"/>
    <x v="0"/>
    <m/>
    <m/>
    <m/>
    <m/>
    <m/>
    <m/>
    <m/>
    <m/>
    <m/>
    <m/>
    <m/>
    <m/>
    <m/>
    <m/>
    <n v="25.693079499694271"/>
    <m/>
    <m/>
    <m/>
    <m/>
    <m/>
    <m/>
    <m/>
    <m/>
  </r>
  <r>
    <x v="15"/>
    <x v="1"/>
    <m/>
    <m/>
    <m/>
    <m/>
    <m/>
    <m/>
    <m/>
    <m/>
    <m/>
    <m/>
    <m/>
    <m/>
    <m/>
    <m/>
    <n v="30.741968388583157"/>
    <m/>
    <m/>
    <m/>
    <m/>
    <m/>
    <m/>
    <m/>
    <m/>
  </r>
  <r>
    <x v="15"/>
    <x v="2"/>
    <m/>
    <m/>
    <m/>
    <m/>
    <m/>
    <m/>
    <m/>
    <m/>
    <m/>
    <m/>
    <m/>
    <m/>
    <m/>
    <m/>
    <n v="53.008251352568571"/>
    <m/>
    <m/>
    <m/>
    <m/>
    <m/>
    <m/>
    <m/>
    <m/>
  </r>
  <r>
    <x v="15"/>
    <x v="3"/>
    <m/>
    <m/>
    <m/>
    <m/>
    <m/>
    <m/>
    <m/>
    <m/>
    <m/>
    <m/>
    <m/>
    <m/>
    <m/>
    <m/>
    <n v="75.607120375553976"/>
    <m/>
    <m/>
    <m/>
    <m/>
    <m/>
    <m/>
    <m/>
    <m/>
  </r>
  <r>
    <x v="15"/>
    <x v="4"/>
    <m/>
    <m/>
    <m/>
    <m/>
    <m/>
    <m/>
    <m/>
    <m/>
    <m/>
    <m/>
    <m/>
    <m/>
    <m/>
    <m/>
    <n v="62.138046641274649"/>
    <m/>
    <m/>
    <m/>
    <m/>
    <m/>
    <m/>
    <m/>
    <m/>
  </r>
  <r>
    <x v="15"/>
    <x v="5"/>
    <m/>
    <m/>
    <m/>
    <m/>
    <m/>
    <m/>
    <m/>
    <m/>
    <m/>
    <m/>
    <m/>
    <m/>
    <m/>
    <m/>
    <n v="71.087358871633313"/>
    <m/>
    <m/>
    <m/>
    <m/>
    <m/>
    <m/>
    <m/>
    <m/>
  </r>
  <r>
    <x v="15"/>
    <x v="6"/>
    <m/>
    <m/>
    <m/>
    <m/>
    <m/>
    <m/>
    <m/>
    <m/>
    <m/>
    <m/>
    <m/>
    <m/>
    <m/>
    <m/>
    <n v="45.832206145164463"/>
    <m/>
    <m/>
    <m/>
    <m/>
    <m/>
    <m/>
    <m/>
    <m/>
  </r>
  <r>
    <x v="16"/>
    <x v="0"/>
    <m/>
    <m/>
    <m/>
    <m/>
    <m/>
    <m/>
    <m/>
    <m/>
    <m/>
    <m/>
    <m/>
    <m/>
    <m/>
    <m/>
    <n v="28.720634621996684"/>
    <m/>
    <m/>
    <m/>
    <m/>
    <m/>
    <m/>
    <m/>
    <m/>
  </r>
  <r>
    <x v="16"/>
    <x v="1"/>
    <m/>
    <m/>
    <m/>
    <m/>
    <m/>
    <m/>
    <m/>
    <m/>
    <m/>
    <m/>
    <m/>
    <m/>
    <m/>
    <m/>
    <n v="33.4330393344014"/>
    <m/>
    <m/>
    <m/>
    <m/>
    <m/>
    <m/>
    <m/>
    <m/>
  </r>
  <r>
    <x v="16"/>
    <x v="2"/>
    <m/>
    <m/>
    <m/>
    <m/>
    <m/>
    <m/>
    <m/>
    <m/>
    <m/>
    <m/>
    <m/>
    <m/>
    <m/>
    <m/>
    <n v="59.691886922236286"/>
    <m/>
    <m/>
    <m/>
    <m/>
    <m/>
    <m/>
    <m/>
    <m/>
  </r>
  <r>
    <x v="16"/>
    <x v="3"/>
    <m/>
    <m/>
    <m/>
    <m/>
    <m/>
    <m/>
    <m/>
    <m/>
    <m/>
    <m/>
    <m/>
    <m/>
    <m/>
    <m/>
    <n v="84.230078888918868"/>
    <m/>
    <m/>
    <m/>
    <m/>
    <m/>
    <m/>
    <m/>
    <m/>
  </r>
  <r>
    <x v="16"/>
    <x v="4"/>
    <m/>
    <m/>
    <m/>
    <m/>
    <m/>
    <m/>
    <m/>
    <m/>
    <m/>
    <m/>
    <m/>
    <m/>
    <m/>
    <m/>
    <n v="69.543035383614011"/>
    <m/>
    <m/>
    <m/>
    <m/>
    <m/>
    <m/>
    <m/>
    <m/>
  </r>
  <r>
    <x v="16"/>
    <x v="5"/>
    <m/>
    <m/>
    <m/>
    <m/>
    <m/>
    <m/>
    <m/>
    <m/>
    <m/>
    <m/>
    <m/>
    <m/>
    <m/>
    <m/>
    <n v="79.217363040371978"/>
    <m/>
    <m/>
    <m/>
    <m/>
    <m/>
    <m/>
    <m/>
    <m/>
  </r>
  <r>
    <x v="16"/>
    <x v="6"/>
    <m/>
    <m/>
    <m/>
    <m/>
    <m/>
    <m/>
    <m/>
    <m/>
    <m/>
    <m/>
    <m/>
    <m/>
    <m/>
    <m/>
    <n v="51.673595698973003"/>
    <m/>
    <m/>
    <m/>
    <m/>
    <m/>
    <m/>
    <m/>
    <m/>
  </r>
  <r>
    <x v="17"/>
    <x v="0"/>
    <m/>
    <m/>
    <m/>
    <m/>
    <m/>
    <m/>
    <m/>
    <m/>
    <m/>
    <m/>
    <m/>
    <m/>
    <m/>
    <m/>
    <n v="148.44867435962337"/>
    <m/>
    <m/>
    <m/>
    <m/>
    <m/>
    <m/>
    <m/>
    <m/>
  </r>
  <r>
    <x v="17"/>
    <x v="1"/>
    <m/>
    <m/>
    <m/>
    <m/>
    <m/>
    <m/>
    <m/>
    <m/>
    <m/>
    <m/>
    <m/>
    <m/>
    <m/>
    <m/>
    <n v="150.46582009840299"/>
    <m/>
    <m/>
    <m/>
    <m/>
    <m/>
    <m/>
    <m/>
    <m/>
  </r>
  <r>
    <x v="17"/>
    <x v="2"/>
    <m/>
    <m/>
    <m/>
    <m/>
    <m/>
    <m/>
    <m/>
    <m/>
    <m/>
    <m/>
    <m/>
    <m/>
    <m/>
    <m/>
    <n v="319.02071466794263"/>
    <m/>
    <m/>
    <m/>
    <m/>
    <m/>
    <m/>
    <m/>
    <m/>
  </r>
  <r>
    <x v="17"/>
    <x v="3"/>
    <m/>
    <m/>
    <m/>
    <m/>
    <m/>
    <m/>
    <m/>
    <m/>
    <m/>
    <m/>
    <m/>
    <m/>
    <m/>
    <m/>
    <n v="428.49560610833481"/>
    <m/>
    <m/>
    <m/>
    <m/>
    <m/>
    <m/>
    <m/>
    <m/>
  </r>
  <r>
    <x v="17"/>
    <x v="4"/>
    <m/>
    <m/>
    <m/>
    <m/>
    <m/>
    <m/>
    <m/>
    <m/>
    <m/>
    <m/>
    <m/>
    <m/>
    <m/>
    <m/>
    <n v="361.43682483017892"/>
    <m/>
    <m/>
    <m/>
    <m/>
    <m/>
    <m/>
    <m/>
    <m/>
  </r>
  <r>
    <x v="17"/>
    <x v="5"/>
    <m/>
    <m/>
    <m/>
    <m/>
    <m/>
    <m/>
    <m/>
    <m/>
    <m/>
    <m/>
    <m/>
    <m/>
    <m/>
    <m/>
    <n v="403.53692800003842"/>
    <m/>
    <m/>
    <m/>
    <m/>
    <m/>
    <m/>
    <m/>
    <m/>
  </r>
  <r>
    <x v="17"/>
    <x v="6"/>
    <m/>
    <m/>
    <m/>
    <m/>
    <m/>
    <m/>
    <m/>
    <m/>
    <m/>
    <m/>
    <m/>
    <m/>
    <m/>
    <m/>
    <n v="277.65674246815581"/>
    <m/>
    <m/>
    <m/>
    <m/>
    <m/>
    <m/>
    <m/>
    <m/>
  </r>
  <r>
    <x v="18"/>
    <x v="0"/>
    <m/>
    <m/>
    <m/>
    <m/>
    <m/>
    <m/>
    <m/>
    <m/>
    <m/>
    <m/>
    <m/>
    <m/>
    <m/>
    <m/>
    <n v="15.669474991922915"/>
    <m/>
    <m/>
    <m/>
    <m/>
    <m/>
    <m/>
    <m/>
    <m/>
  </r>
  <r>
    <x v="18"/>
    <x v="1"/>
    <m/>
    <m/>
    <m/>
    <m/>
    <m/>
    <m/>
    <m/>
    <m/>
    <m/>
    <m/>
    <m/>
    <m/>
    <m/>
    <m/>
    <n v="17.327260663918178"/>
    <m/>
    <m/>
    <m/>
    <m/>
    <m/>
    <m/>
    <m/>
    <m/>
  </r>
  <r>
    <x v="18"/>
    <x v="2"/>
    <m/>
    <m/>
    <m/>
    <m/>
    <m/>
    <m/>
    <m/>
    <m/>
    <m/>
    <m/>
    <m/>
    <m/>
    <m/>
    <m/>
    <n v="32.995685275779742"/>
    <m/>
    <m/>
    <m/>
    <m/>
    <m/>
    <m/>
    <m/>
    <m/>
  </r>
  <r>
    <x v="18"/>
    <x v="3"/>
    <m/>
    <m/>
    <m/>
    <m/>
    <m/>
    <m/>
    <m/>
    <m/>
    <m/>
    <m/>
    <m/>
    <m/>
    <m/>
    <m/>
    <n v="45.673809798862891"/>
    <m/>
    <m/>
    <m/>
    <m/>
    <m/>
    <m/>
    <m/>
    <m/>
  </r>
  <r>
    <x v="18"/>
    <x v="4"/>
    <m/>
    <m/>
    <m/>
    <m/>
    <m/>
    <m/>
    <m/>
    <m/>
    <m/>
    <m/>
    <m/>
    <m/>
    <m/>
    <m/>
    <n v="38.02276613509369"/>
    <m/>
    <m/>
    <m/>
    <m/>
    <m/>
    <m/>
    <m/>
    <m/>
  </r>
  <r>
    <x v="18"/>
    <x v="5"/>
    <m/>
    <m/>
    <m/>
    <m/>
    <m/>
    <m/>
    <m/>
    <m/>
    <m/>
    <m/>
    <m/>
    <m/>
    <m/>
    <m/>
    <n v="42.977819026273572"/>
    <m/>
    <m/>
    <m/>
    <m/>
    <m/>
    <m/>
    <m/>
    <m/>
  </r>
  <r>
    <x v="18"/>
    <x v="6"/>
    <m/>
    <m/>
    <m/>
    <m/>
    <m/>
    <m/>
    <m/>
    <m/>
    <m/>
    <m/>
    <m/>
    <m/>
    <m/>
    <m/>
    <n v="28.624327059435089"/>
    <m/>
    <m/>
    <m/>
    <m/>
    <m/>
    <m/>
    <m/>
    <m/>
  </r>
  <r>
    <x v="19"/>
    <x v="0"/>
    <m/>
    <m/>
    <m/>
    <m/>
    <m/>
    <m/>
    <m/>
    <m/>
    <m/>
    <m/>
    <m/>
    <m/>
    <m/>
    <m/>
    <n v="40.670266237764999"/>
    <m/>
    <m/>
    <m/>
    <m/>
    <m/>
    <m/>
    <m/>
    <m/>
  </r>
  <r>
    <x v="19"/>
    <x v="1"/>
    <m/>
    <m/>
    <m/>
    <m/>
    <m/>
    <m/>
    <m/>
    <m/>
    <m/>
    <m/>
    <m/>
    <m/>
    <m/>
    <m/>
    <n v="41.495100434944952"/>
    <m/>
    <m/>
    <m/>
    <m/>
    <m/>
    <m/>
    <m/>
    <m/>
  </r>
  <r>
    <x v="19"/>
    <x v="2"/>
    <m/>
    <m/>
    <m/>
    <m/>
    <m/>
    <m/>
    <m/>
    <m/>
    <m/>
    <m/>
    <m/>
    <m/>
    <m/>
    <m/>
    <n v="87.273816764633025"/>
    <m/>
    <m/>
    <m/>
    <m/>
    <m/>
    <m/>
    <m/>
    <m/>
  </r>
  <r>
    <x v="19"/>
    <x v="3"/>
    <m/>
    <m/>
    <m/>
    <m/>
    <m/>
    <m/>
    <m/>
    <m/>
    <m/>
    <m/>
    <m/>
    <m/>
    <m/>
    <m/>
    <n v="117.47796543372382"/>
    <m/>
    <m/>
    <m/>
    <m/>
    <m/>
    <m/>
    <m/>
    <m/>
  </r>
  <r>
    <x v="19"/>
    <x v="4"/>
    <m/>
    <m/>
    <m/>
    <m/>
    <m/>
    <m/>
    <m/>
    <m/>
    <m/>
    <m/>
    <m/>
    <m/>
    <m/>
    <m/>
    <n v="98.998084235997041"/>
    <m/>
    <m/>
    <m/>
    <m/>
    <m/>
    <m/>
    <m/>
    <m/>
  </r>
  <r>
    <x v="19"/>
    <x v="5"/>
    <m/>
    <m/>
    <m/>
    <m/>
    <m/>
    <m/>
    <m/>
    <m/>
    <m/>
    <m/>
    <m/>
    <m/>
    <m/>
    <m/>
    <n v="110.62849029684195"/>
    <m/>
    <m/>
    <m/>
    <m/>
    <m/>
    <m/>
    <m/>
    <m/>
  </r>
  <r>
    <x v="19"/>
    <x v="6"/>
    <m/>
    <m/>
    <m/>
    <m/>
    <m/>
    <m/>
    <m/>
    <m/>
    <m/>
    <m/>
    <m/>
    <m/>
    <m/>
    <m/>
    <n v="75.940411840808309"/>
    <m/>
    <m/>
    <m/>
    <m/>
    <m/>
    <m/>
    <m/>
    <m/>
  </r>
  <r>
    <x v="20"/>
    <x v="0"/>
    <m/>
    <m/>
    <m/>
    <m/>
    <m/>
    <m/>
    <m/>
    <m/>
    <m/>
    <m/>
    <m/>
    <m/>
    <m/>
    <m/>
    <n v="33.091073946049519"/>
    <m/>
    <m/>
    <m/>
    <m/>
    <m/>
    <m/>
    <m/>
    <m/>
  </r>
  <r>
    <x v="20"/>
    <x v="1"/>
    <m/>
    <m/>
    <m/>
    <m/>
    <m/>
    <m/>
    <m/>
    <m/>
    <m/>
    <m/>
    <m/>
    <m/>
    <m/>
    <m/>
    <n v="39.499054794924938"/>
    <m/>
    <m/>
    <m/>
    <m/>
    <m/>
    <m/>
    <m/>
    <m/>
  </r>
  <r>
    <x v="20"/>
    <x v="2"/>
    <m/>
    <m/>
    <m/>
    <m/>
    <m/>
    <m/>
    <m/>
    <m/>
    <m/>
    <m/>
    <m/>
    <m/>
    <m/>
    <m/>
    <n v="68.315757564621862"/>
    <m/>
    <m/>
    <m/>
    <m/>
    <m/>
    <m/>
    <m/>
    <m/>
  </r>
  <r>
    <x v="20"/>
    <x v="3"/>
    <m/>
    <m/>
    <m/>
    <m/>
    <m/>
    <m/>
    <m/>
    <m/>
    <m/>
    <m/>
    <m/>
    <m/>
    <m/>
    <m/>
    <n v="97.348132292599388"/>
    <m/>
    <m/>
    <m/>
    <m/>
    <m/>
    <m/>
    <m/>
    <m/>
  </r>
  <r>
    <x v="20"/>
    <x v="4"/>
    <m/>
    <m/>
    <m/>
    <m/>
    <m/>
    <m/>
    <m/>
    <m/>
    <m/>
    <m/>
    <m/>
    <m/>
    <m/>
    <m/>
    <n v="80.038333048447754"/>
    <m/>
    <m/>
    <m/>
    <m/>
    <m/>
    <m/>
    <m/>
    <m/>
  </r>
  <r>
    <x v="20"/>
    <x v="5"/>
    <m/>
    <m/>
    <m/>
    <m/>
    <m/>
    <m/>
    <m/>
    <m/>
    <m/>
    <m/>
    <m/>
    <m/>
    <m/>
    <m/>
    <n v="91.530991557951893"/>
    <m/>
    <m/>
    <m/>
    <m/>
    <m/>
    <m/>
    <m/>
    <m/>
  </r>
  <r>
    <x v="20"/>
    <x v="6"/>
    <m/>
    <m/>
    <m/>
    <m/>
    <m/>
    <m/>
    <m/>
    <m/>
    <m/>
    <m/>
    <m/>
    <m/>
    <m/>
    <m/>
    <n v="59.073801822956177"/>
    <m/>
    <m/>
    <m/>
    <m/>
    <m/>
    <m/>
    <m/>
    <m/>
  </r>
  <r>
    <x v="21"/>
    <x v="0"/>
    <m/>
    <m/>
    <m/>
    <m/>
    <m/>
    <m/>
    <m/>
    <m/>
    <m/>
    <m/>
    <m/>
    <m/>
    <m/>
    <m/>
    <n v="24.139141575263434"/>
    <m/>
    <m/>
    <m/>
    <m/>
    <m/>
    <m/>
    <m/>
    <m/>
  </r>
  <r>
    <x v="21"/>
    <x v="1"/>
    <m/>
    <m/>
    <m/>
    <m/>
    <m/>
    <m/>
    <m/>
    <m/>
    <m/>
    <m/>
    <m/>
    <m/>
    <m/>
    <m/>
    <n v="26.495031299574212"/>
    <m/>
    <m/>
    <m/>
    <m/>
    <m/>
    <m/>
    <m/>
    <m/>
  </r>
  <r>
    <x v="21"/>
    <x v="2"/>
    <m/>
    <m/>
    <m/>
    <m/>
    <m/>
    <m/>
    <m/>
    <m/>
    <m/>
    <m/>
    <m/>
    <m/>
    <m/>
    <m/>
    <n v="50.923478155855513"/>
    <m/>
    <m/>
    <m/>
    <m/>
    <m/>
    <m/>
    <m/>
    <m/>
  </r>
  <r>
    <x v="21"/>
    <x v="3"/>
    <m/>
    <m/>
    <m/>
    <m/>
    <m/>
    <m/>
    <m/>
    <m/>
    <m/>
    <m/>
    <m/>
    <m/>
    <m/>
    <m/>
    <n v="70.300586527186411"/>
    <m/>
    <m/>
    <m/>
    <m/>
    <m/>
    <m/>
    <m/>
    <m/>
  </r>
  <r>
    <x v="21"/>
    <x v="4"/>
    <m/>
    <m/>
    <m/>
    <m/>
    <m/>
    <m/>
    <m/>
    <m/>
    <m/>
    <m/>
    <m/>
    <m/>
    <m/>
    <m/>
    <n v="58.592461181997223"/>
    <m/>
    <m/>
    <m/>
    <m/>
    <m/>
    <m/>
    <m/>
    <m/>
  </r>
  <r>
    <x v="21"/>
    <x v="5"/>
    <m/>
    <m/>
    <m/>
    <m/>
    <m/>
    <m/>
    <m/>
    <m/>
    <m/>
    <m/>
    <m/>
    <m/>
    <m/>
    <m/>
    <n v="66.155782147199531"/>
    <m/>
    <m/>
    <m/>
    <m/>
    <m/>
    <m/>
    <m/>
    <m/>
  </r>
  <r>
    <x v="21"/>
    <x v="6"/>
    <m/>
    <m/>
    <m/>
    <m/>
    <m/>
    <m/>
    <m/>
    <m/>
    <m/>
    <m/>
    <m/>
    <m/>
    <m/>
    <m/>
    <n v="44.19002407996912"/>
    <m/>
    <m/>
    <m/>
    <m/>
    <m/>
    <m/>
    <m/>
    <m/>
  </r>
  <r>
    <x v="22"/>
    <x v="0"/>
    <m/>
    <m/>
    <m/>
    <m/>
    <m/>
    <m/>
    <m/>
    <m/>
    <m/>
    <m/>
    <m/>
    <m/>
    <m/>
    <m/>
    <n v="16.903035916334531"/>
    <m/>
    <m/>
    <m/>
    <m/>
    <m/>
    <m/>
    <m/>
    <m/>
  </r>
  <r>
    <x v="22"/>
    <x v="1"/>
    <m/>
    <m/>
    <m/>
    <m/>
    <m/>
    <m/>
    <m/>
    <m/>
    <m/>
    <m/>
    <m/>
    <m/>
    <m/>
    <m/>
    <n v="23.371115071638357"/>
    <m/>
    <m/>
    <m/>
    <m/>
    <m/>
    <m/>
    <m/>
    <m/>
  </r>
  <r>
    <x v="22"/>
    <x v="2"/>
    <m/>
    <m/>
    <m/>
    <m/>
    <m/>
    <m/>
    <m/>
    <m/>
    <m/>
    <m/>
    <m/>
    <m/>
    <m/>
    <m/>
    <n v="33.39565670006629"/>
    <m/>
    <m/>
    <m/>
    <m/>
    <m/>
    <m/>
    <m/>
    <m/>
  </r>
  <r>
    <x v="22"/>
    <x v="3"/>
    <m/>
    <m/>
    <m/>
    <m/>
    <m/>
    <m/>
    <m/>
    <m/>
    <m/>
    <m/>
    <m/>
    <m/>
    <m/>
    <m/>
    <n v="50.70759091924193"/>
    <m/>
    <m/>
    <m/>
    <m/>
    <m/>
    <m/>
    <m/>
    <m/>
  </r>
  <r>
    <x v="22"/>
    <x v="4"/>
    <m/>
    <m/>
    <m/>
    <m/>
    <m/>
    <m/>
    <m/>
    <m/>
    <m/>
    <m/>
    <m/>
    <m/>
    <m/>
    <m/>
    <n v="40.599418854971177"/>
    <m/>
    <m/>
    <m/>
    <m/>
    <m/>
    <m/>
    <m/>
    <m/>
  </r>
  <r>
    <x v="22"/>
    <x v="5"/>
    <m/>
    <m/>
    <m/>
    <m/>
    <m/>
    <m/>
    <m/>
    <m/>
    <m/>
    <m/>
    <m/>
    <m/>
    <m/>
    <m/>
    <n v="47.600228053537002"/>
    <m/>
    <m/>
    <m/>
    <m/>
    <m/>
    <m/>
    <m/>
    <m/>
  </r>
  <r>
    <x v="22"/>
    <x v="6"/>
    <m/>
    <m/>
    <m/>
    <m/>
    <m/>
    <m/>
    <m/>
    <m/>
    <m/>
    <m/>
    <m/>
    <m/>
    <m/>
    <m/>
    <n v="28.663355144442562"/>
    <m/>
    <m/>
    <m/>
    <m/>
    <m/>
    <m/>
    <m/>
    <m/>
  </r>
  <r>
    <x v="23"/>
    <x v="0"/>
    <m/>
    <m/>
    <m/>
    <m/>
    <m/>
    <m/>
    <m/>
    <m/>
    <m/>
    <m/>
    <m/>
    <m/>
    <m/>
    <m/>
    <n v="26.946676646599187"/>
    <m/>
    <m/>
    <m/>
    <m/>
    <m/>
    <m/>
    <m/>
    <m/>
  </r>
  <r>
    <x v="23"/>
    <x v="1"/>
    <m/>
    <m/>
    <m/>
    <m/>
    <m/>
    <m/>
    <m/>
    <m/>
    <m/>
    <m/>
    <m/>
    <m/>
    <m/>
    <m/>
    <n v="32.722406293296572"/>
    <m/>
    <m/>
    <m/>
    <m/>
    <m/>
    <m/>
    <m/>
    <m/>
  </r>
  <r>
    <x v="23"/>
    <x v="2"/>
    <m/>
    <m/>
    <m/>
    <m/>
    <m/>
    <m/>
    <m/>
    <m/>
    <m/>
    <m/>
    <m/>
    <m/>
    <m/>
    <m/>
    <n v="55.368952514276629"/>
    <m/>
    <m/>
    <m/>
    <m/>
    <m/>
    <m/>
    <m/>
    <m/>
  </r>
  <r>
    <x v="23"/>
    <x v="3"/>
    <m/>
    <m/>
    <m/>
    <m/>
    <m/>
    <m/>
    <m/>
    <m/>
    <m/>
    <m/>
    <m/>
    <m/>
    <m/>
    <m/>
    <n v="79.443749541501873"/>
    <m/>
    <m/>
    <m/>
    <m/>
    <m/>
    <m/>
    <m/>
    <m/>
  </r>
  <r>
    <x v="23"/>
    <x v="4"/>
    <m/>
    <m/>
    <m/>
    <m/>
    <m/>
    <m/>
    <m/>
    <m/>
    <m/>
    <m/>
    <m/>
    <m/>
    <m/>
    <m/>
    <n v="65.127059655843269"/>
    <m/>
    <m/>
    <m/>
    <m/>
    <m/>
    <m/>
    <m/>
    <m/>
  </r>
  <r>
    <x v="23"/>
    <x v="5"/>
    <m/>
    <m/>
    <m/>
    <m/>
    <m/>
    <m/>
    <m/>
    <m/>
    <m/>
    <m/>
    <m/>
    <m/>
    <m/>
    <m/>
    <n v="74.683017165920944"/>
    <m/>
    <m/>
    <m/>
    <m/>
    <m/>
    <m/>
    <m/>
    <m/>
  </r>
  <r>
    <x v="23"/>
    <x v="6"/>
    <m/>
    <m/>
    <m/>
    <m/>
    <m/>
    <m/>
    <m/>
    <m/>
    <m/>
    <m/>
    <m/>
    <m/>
    <m/>
    <m/>
    <n v="47.841052864297488"/>
    <m/>
    <m/>
    <m/>
    <m/>
    <m/>
    <m/>
    <m/>
    <m/>
  </r>
  <r>
    <x v="24"/>
    <x v="0"/>
    <m/>
    <m/>
    <m/>
    <m/>
    <m/>
    <m/>
    <m/>
    <m/>
    <m/>
    <m/>
    <m/>
    <m/>
    <m/>
    <m/>
    <n v="41.941348033957382"/>
    <m/>
    <m/>
    <m/>
    <m/>
    <m/>
    <m/>
    <m/>
    <m/>
  </r>
  <r>
    <x v="24"/>
    <x v="1"/>
    <m/>
    <m/>
    <m/>
    <m/>
    <m/>
    <m/>
    <m/>
    <m/>
    <m/>
    <m/>
    <m/>
    <m/>
    <m/>
    <m/>
    <n v="45.393953181477784"/>
    <m/>
    <m/>
    <m/>
    <m/>
    <m/>
    <m/>
    <m/>
    <m/>
  </r>
  <r>
    <x v="24"/>
    <x v="2"/>
    <m/>
    <m/>
    <m/>
    <m/>
    <m/>
    <m/>
    <m/>
    <m/>
    <m/>
    <m/>
    <m/>
    <m/>
    <m/>
    <m/>
    <n v="88.779549114027887"/>
    <m/>
    <m/>
    <m/>
    <m/>
    <m/>
    <m/>
    <m/>
    <m/>
  </r>
  <r>
    <x v="24"/>
    <x v="3"/>
    <m/>
    <m/>
    <m/>
    <m/>
    <m/>
    <m/>
    <m/>
    <m/>
    <m/>
    <m/>
    <m/>
    <m/>
    <m/>
    <m/>
    <n v="121.94917352186415"/>
    <m/>
    <m/>
    <m/>
    <m/>
    <m/>
    <m/>
    <m/>
    <m/>
  </r>
  <r>
    <x v="24"/>
    <x v="4"/>
    <m/>
    <m/>
    <m/>
    <m/>
    <m/>
    <m/>
    <m/>
    <m/>
    <m/>
    <m/>
    <m/>
    <m/>
    <m/>
    <m/>
    <n v="101.86044816561902"/>
    <m/>
    <m/>
    <m/>
    <m/>
    <m/>
    <m/>
    <m/>
    <m/>
  </r>
  <r>
    <x v="24"/>
    <x v="5"/>
    <m/>
    <m/>
    <m/>
    <m/>
    <m/>
    <m/>
    <m/>
    <m/>
    <m/>
    <m/>
    <m/>
    <m/>
    <m/>
    <m/>
    <n v="114.77490989779187"/>
    <m/>
    <m/>
    <m/>
    <m/>
    <m/>
    <m/>
    <m/>
    <m/>
  </r>
  <r>
    <x v="24"/>
    <x v="6"/>
    <m/>
    <m/>
    <m/>
    <m/>
    <m/>
    <m/>
    <m/>
    <m/>
    <m/>
    <m/>
    <m/>
    <m/>
    <m/>
    <m/>
    <n v="77.082589075535651"/>
    <m/>
    <m/>
    <m/>
    <m/>
    <m/>
    <m/>
    <m/>
    <m/>
  </r>
  <r>
    <x v="25"/>
    <x v="0"/>
    <m/>
    <m/>
    <m/>
    <m/>
    <m/>
    <m/>
    <m/>
    <m/>
    <m/>
    <m/>
    <m/>
    <m/>
    <m/>
    <m/>
    <n v="27.456809181798583"/>
    <m/>
    <m/>
    <m/>
    <m/>
    <m/>
    <m/>
    <m/>
    <m/>
  </r>
  <r>
    <x v="25"/>
    <x v="1"/>
    <m/>
    <m/>
    <m/>
    <m/>
    <m/>
    <m/>
    <m/>
    <m/>
    <m/>
    <m/>
    <m/>
    <m/>
    <m/>
    <m/>
    <n v="30.34176736087441"/>
    <m/>
    <m/>
    <m/>
    <m/>
    <m/>
    <m/>
    <m/>
    <m/>
  </r>
  <r>
    <x v="25"/>
    <x v="2"/>
    <m/>
    <m/>
    <m/>
    <m/>
    <m/>
    <m/>
    <m/>
    <m/>
    <m/>
    <m/>
    <m/>
    <m/>
    <m/>
    <m/>
    <n v="57.825971666177665"/>
    <m/>
    <m/>
    <m/>
    <m/>
    <m/>
    <m/>
    <m/>
    <m/>
  </r>
  <r>
    <x v="25"/>
    <x v="3"/>
    <m/>
    <m/>
    <m/>
    <m/>
    <m/>
    <m/>
    <m/>
    <m/>
    <m/>
    <m/>
    <m/>
    <m/>
    <m/>
    <m/>
    <n v="80.025736884205898"/>
    <m/>
    <m/>
    <m/>
    <m/>
    <m/>
    <m/>
    <m/>
    <m/>
  </r>
  <r>
    <x v="25"/>
    <x v="4"/>
    <m/>
    <m/>
    <m/>
    <m/>
    <m/>
    <m/>
    <m/>
    <m/>
    <m/>
    <m/>
    <m/>
    <m/>
    <m/>
    <m/>
    <n v="66.627094267923752"/>
    <m/>
    <m/>
    <m/>
    <m/>
    <m/>
    <m/>
    <m/>
    <m/>
  </r>
  <r>
    <x v="25"/>
    <x v="5"/>
    <m/>
    <m/>
    <m/>
    <m/>
    <m/>
    <m/>
    <m/>
    <m/>
    <m/>
    <m/>
    <m/>
    <m/>
    <m/>
    <m/>
    <n v="75.302538450309399"/>
    <m/>
    <m/>
    <m/>
    <m/>
    <m/>
    <m/>
    <m/>
    <m/>
  </r>
  <r>
    <x v="25"/>
    <x v="6"/>
    <m/>
    <m/>
    <m/>
    <m/>
    <m/>
    <m/>
    <m/>
    <m/>
    <m/>
    <m/>
    <m/>
    <m/>
    <m/>
    <m/>
    <n v="50.166338620234427"/>
    <m/>
    <m/>
    <m/>
    <m/>
    <m/>
    <m/>
    <m/>
    <m/>
  </r>
  <r>
    <x v="26"/>
    <x v="0"/>
    <m/>
    <m/>
    <m/>
    <m/>
    <m/>
    <m/>
    <m/>
    <m/>
    <m/>
    <m/>
    <m/>
    <m/>
    <m/>
    <m/>
    <n v="22.179817273706053"/>
    <m/>
    <m/>
    <m/>
    <m/>
    <m/>
    <m/>
    <m/>
    <m/>
  </r>
  <r>
    <x v="26"/>
    <x v="1"/>
    <m/>
    <m/>
    <m/>
    <m/>
    <m/>
    <m/>
    <m/>
    <m/>
    <m/>
    <m/>
    <m/>
    <m/>
    <m/>
    <m/>
    <n v="22.963239057885989"/>
    <m/>
    <m/>
    <m/>
    <m/>
    <m/>
    <m/>
    <m/>
    <m/>
  </r>
  <r>
    <x v="26"/>
    <x v="2"/>
    <m/>
    <m/>
    <m/>
    <m/>
    <m/>
    <m/>
    <m/>
    <m/>
    <m/>
    <m/>
    <m/>
    <m/>
    <m/>
    <m/>
    <n v="47.438741748310846"/>
    <m/>
    <m/>
    <m/>
    <m/>
    <m/>
    <m/>
    <m/>
    <m/>
  </r>
  <r>
    <x v="26"/>
    <x v="3"/>
    <m/>
    <m/>
    <m/>
    <m/>
    <m/>
    <m/>
    <m/>
    <m/>
    <m/>
    <m/>
    <m/>
    <m/>
    <m/>
    <m/>
    <n v="64.169956860199449"/>
    <m/>
    <m/>
    <m/>
    <m/>
    <m/>
    <m/>
    <m/>
    <m/>
  </r>
  <r>
    <x v="26"/>
    <x v="4"/>
    <m/>
    <m/>
    <m/>
    <m/>
    <m/>
    <m/>
    <m/>
    <m/>
    <m/>
    <m/>
    <m/>
    <m/>
    <m/>
    <m/>
    <n v="53.959605271082516"/>
    <m/>
    <m/>
    <m/>
    <m/>
    <m/>
    <m/>
    <m/>
    <m/>
  </r>
  <r>
    <x v="26"/>
    <x v="5"/>
    <m/>
    <m/>
    <m/>
    <m/>
    <m/>
    <m/>
    <m/>
    <m/>
    <m/>
    <m/>
    <m/>
    <m/>
    <m/>
    <m/>
    <n v="60.42035218970026"/>
    <m/>
    <m/>
    <m/>
    <m/>
    <m/>
    <m/>
    <m/>
    <m/>
  </r>
  <r>
    <x v="26"/>
    <x v="6"/>
    <m/>
    <m/>
    <m/>
    <m/>
    <m/>
    <m/>
    <m/>
    <m/>
    <m/>
    <m/>
    <m/>
    <m/>
    <m/>
    <m/>
    <n v="41.256790717790111"/>
    <m/>
    <m/>
    <m/>
    <m/>
    <m/>
    <m/>
    <m/>
    <m/>
  </r>
  <r>
    <x v="27"/>
    <x v="0"/>
    <m/>
    <m/>
    <m/>
    <m/>
    <m/>
    <m/>
    <m/>
    <m/>
    <m/>
    <m/>
    <m/>
    <m/>
    <m/>
    <m/>
    <n v="36.705552044142443"/>
    <m/>
    <m/>
    <m/>
    <m/>
    <m/>
    <m/>
    <m/>
    <m/>
  </r>
  <r>
    <x v="27"/>
    <x v="1"/>
    <m/>
    <m/>
    <m/>
    <m/>
    <m/>
    <m/>
    <m/>
    <m/>
    <m/>
    <m/>
    <m/>
    <m/>
    <m/>
    <m/>
    <n v="39.683227638049097"/>
    <m/>
    <m/>
    <m/>
    <m/>
    <m/>
    <m/>
    <m/>
    <m/>
  </r>
  <r>
    <x v="27"/>
    <x v="2"/>
    <m/>
    <m/>
    <m/>
    <m/>
    <m/>
    <m/>
    <m/>
    <m/>
    <m/>
    <m/>
    <m/>
    <m/>
    <m/>
    <m/>
    <n v="77.71727707797163"/>
    <m/>
    <m/>
    <m/>
    <m/>
    <m/>
    <m/>
    <m/>
    <m/>
  </r>
  <r>
    <x v="27"/>
    <x v="3"/>
    <m/>
    <m/>
    <m/>
    <m/>
    <m/>
    <m/>
    <m/>
    <m/>
    <m/>
    <m/>
    <m/>
    <m/>
    <m/>
    <m/>
    <n v="106.71201230861257"/>
    <m/>
    <m/>
    <m/>
    <m/>
    <m/>
    <m/>
    <m/>
    <m/>
  </r>
  <r>
    <x v="27"/>
    <x v="4"/>
    <m/>
    <m/>
    <m/>
    <m/>
    <m/>
    <m/>
    <m/>
    <m/>
    <m/>
    <m/>
    <m/>
    <m/>
    <m/>
    <m/>
    <n v="89.148493208206574"/>
    <m/>
    <m/>
    <m/>
    <m/>
    <m/>
    <m/>
    <m/>
    <m/>
  </r>
  <r>
    <x v="27"/>
    <x v="5"/>
    <m/>
    <m/>
    <m/>
    <m/>
    <m/>
    <m/>
    <m/>
    <m/>
    <m/>
    <m/>
    <m/>
    <m/>
    <m/>
    <m/>
    <n v="100.43522492286586"/>
    <m/>
    <m/>
    <m/>
    <m/>
    <m/>
    <m/>
    <m/>
    <m/>
  </r>
  <r>
    <x v="27"/>
    <x v="6"/>
    <m/>
    <m/>
    <m/>
    <m/>
    <m/>
    <m/>
    <m/>
    <m/>
    <m/>
    <m/>
    <m/>
    <m/>
    <m/>
    <m/>
    <n v="67.48067817152112"/>
    <m/>
    <m/>
    <m/>
    <m/>
    <m/>
    <m/>
    <m/>
    <m/>
  </r>
  <r>
    <x v="0"/>
    <x v="0"/>
    <m/>
    <m/>
    <m/>
    <m/>
    <m/>
    <m/>
    <m/>
    <m/>
    <m/>
    <m/>
    <m/>
    <m/>
    <m/>
    <m/>
    <m/>
    <m/>
    <m/>
    <n v="512.13218606040073"/>
    <m/>
    <m/>
    <m/>
    <m/>
    <m/>
  </r>
  <r>
    <x v="0"/>
    <x v="1"/>
    <m/>
    <m/>
    <m/>
    <m/>
    <m/>
    <m/>
    <m/>
    <m/>
    <m/>
    <m/>
    <m/>
    <m/>
    <m/>
    <m/>
    <m/>
    <m/>
    <m/>
    <n v="605.8788527270674"/>
    <m/>
    <m/>
    <m/>
    <m/>
    <m/>
  </r>
  <r>
    <x v="0"/>
    <x v="2"/>
    <m/>
    <m/>
    <m/>
    <m/>
    <m/>
    <m/>
    <m/>
    <m/>
    <m/>
    <m/>
    <m/>
    <m/>
    <m/>
    <m/>
    <m/>
    <m/>
    <m/>
    <n v="1120.572837518944"/>
    <m/>
    <m/>
    <m/>
    <m/>
    <m/>
  </r>
  <r>
    <x v="0"/>
    <x v="3"/>
    <m/>
    <m/>
    <m/>
    <m/>
    <m/>
    <m/>
    <m/>
    <m/>
    <m/>
    <m/>
    <m/>
    <m/>
    <m/>
    <m/>
    <m/>
    <m/>
    <m/>
    <n v="1465.1854438883104"/>
    <m/>
    <m/>
    <m/>
    <m/>
    <m/>
  </r>
  <r>
    <x v="0"/>
    <x v="4"/>
    <m/>
    <m/>
    <m/>
    <m/>
    <m/>
    <m/>
    <m/>
    <m/>
    <m/>
    <m/>
    <m/>
    <m/>
    <m/>
    <m/>
    <m/>
    <m/>
    <m/>
    <n v="1250.7077736830702"/>
    <m/>
    <m/>
    <m/>
    <m/>
    <m/>
  </r>
  <r>
    <x v="0"/>
    <x v="5"/>
    <m/>
    <m/>
    <m/>
    <m/>
    <m/>
    <m/>
    <m/>
    <m/>
    <m/>
    <m/>
    <m/>
    <m/>
    <m/>
    <m/>
    <m/>
    <m/>
    <m/>
    <n v="1380.8916109777506"/>
    <m/>
    <m/>
    <m/>
    <m/>
    <m/>
  </r>
  <r>
    <x v="0"/>
    <x v="6"/>
    <m/>
    <m/>
    <m/>
    <m/>
    <m/>
    <m/>
    <m/>
    <m/>
    <m/>
    <m/>
    <m/>
    <m/>
    <m/>
    <m/>
    <m/>
    <m/>
    <m/>
    <n v="978.02442320079115"/>
    <m/>
    <m/>
    <m/>
    <m/>
    <m/>
  </r>
  <r>
    <x v="0"/>
    <x v="7"/>
    <m/>
    <m/>
    <m/>
    <m/>
    <m/>
    <m/>
    <m/>
    <m/>
    <m/>
    <m/>
    <m/>
    <m/>
    <m/>
    <m/>
    <m/>
    <m/>
    <m/>
    <n v="7313.3931280563347"/>
    <m/>
    <m/>
    <m/>
    <m/>
    <m/>
  </r>
  <r>
    <x v="1"/>
    <x v="0"/>
    <m/>
    <m/>
    <m/>
    <m/>
    <m/>
    <m/>
    <m/>
    <m/>
    <m/>
    <m/>
    <m/>
    <m/>
    <m/>
    <m/>
    <m/>
    <m/>
    <m/>
    <n v="786.68932131673239"/>
    <m/>
    <m/>
    <m/>
    <m/>
    <m/>
  </r>
  <r>
    <x v="1"/>
    <x v="1"/>
    <m/>
    <m/>
    <m/>
    <m/>
    <m/>
    <m/>
    <m/>
    <m/>
    <m/>
    <m/>
    <m/>
    <m/>
    <m/>
    <m/>
    <m/>
    <m/>
    <m/>
    <n v="1055.2893213167322"/>
    <m/>
    <m/>
    <m/>
    <m/>
    <m/>
  </r>
  <r>
    <x v="1"/>
    <x v="2"/>
    <m/>
    <m/>
    <m/>
    <m/>
    <m/>
    <m/>
    <m/>
    <m/>
    <m/>
    <m/>
    <m/>
    <m/>
    <m/>
    <m/>
    <m/>
    <m/>
    <m/>
    <n v="1743.537069796422"/>
    <m/>
    <m/>
    <m/>
    <m/>
    <m/>
  </r>
  <r>
    <x v="1"/>
    <x v="3"/>
    <m/>
    <m/>
    <m/>
    <m/>
    <m/>
    <m/>
    <m/>
    <m/>
    <m/>
    <m/>
    <m/>
    <m/>
    <m/>
    <m/>
    <m/>
    <m/>
    <m/>
    <n v="2236.1396919947761"/>
    <m/>
    <m/>
    <m/>
    <m/>
    <m/>
  </r>
  <r>
    <x v="1"/>
    <x v="4"/>
    <m/>
    <m/>
    <m/>
    <m/>
    <m/>
    <m/>
    <m/>
    <m/>
    <m/>
    <m/>
    <m/>
    <m/>
    <m/>
    <m/>
    <m/>
    <m/>
    <m/>
    <n v="1925.4321638602196"/>
    <m/>
    <m/>
    <m/>
    <m/>
    <m/>
  </r>
  <r>
    <x v="1"/>
    <x v="5"/>
    <m/>
    <m/>
    <m/>
    <m/>
    <m/>
    <m/>
    <m/>
    <m/>
    <m/>
    <m/>
    <m/>
    <m/>
    <m/>
    <m/>
    <m/>
    <m/>
    <m/>
    <n v="2108.6687531662528"/>
    <m/>
    <m/>
    <m/>
    <m/>
    <m/>
  </r>
  <r>
    <x v="1"/>
    <x v="6"/>
    <m/>
    <m/>
    <m/>
    <m/>
    <m/>
    <m/>
    <m/>
    <m/>
    <m/>
    <m/>
    <m/>
    <m/>
    <m/>
    <m/>
    <m/>
    <m/>
    <m/>
    <n v="1524.7375858002661"/>
    <m/>
    <m/>
    <m/>
    <m/>
    <m/>
  </r>
  <r>
    <x v="1"/>
    <x v="7"/>
    <m/>
    <m/>
    <m/>
    <m/>
    <m/>
    <m/>
    <m/>
    <m/>
    <m/>
    <m/>
    <m/>
    <m/>
    <m/>
    <m/>
    <m/>
    <m/>
    <m/>
    <n v="11380.493907251403"/>
    <m/>
    <m/>
    <m/>
    <m/>
    <m/>
  </r>
  <r>
    <x v="2"/>
    <x v="0"/>
    <m/>
    <m/>
    <m/>
    <m/>
    <m/>
    <m/>
    <m/>
    <m/>
    <m/>
    <m/>
    <m/>
    <m/>
    <m/>
    <m/>
    <m/>
    <m/>
    <m/>
    <n v="315.80029887523727"/>
    <m/>
    <m/>
    <m/>
    <m/>
    <m/>
  </r>
  <r>
    <x v="2"/>
    <x v="1"/>
    <m/>
    <m/>
    <m/>
    <m/>
    <m/>
    <m/>
    <m/>
    <m/>
    <m/>
    <m/>
    <m/>
    <m/>
    <m/>
    <m/>
    <m/>
    <m/>
    <m/>
    <n v="721.33363220857063"/>
    <m/>
    <m/>
    <m/>
    <m/>
    <m/>
  </r>
  <r>
    <x v="2"/>
    <x v="2"/>
    <m/>
    <m/>
    <m/>
    <m/>
    <m/>
    <m/>
    <m/>
    <m/>
    <m/>
    <m/>
    <m/>
    <m/>
    <m/>
    <m/>
    <m/>
    <m/>
    <m/>
    <n v="752.99618536486923"/>
    <m/>
    <m/>
    <m/>
    <m/>
    <m/>
  </r>
  <r>
    <x v="2"/>
    <x v="3"/>
    <m/>
    <m/>
    <m/>
    <m/>
    <m/>
    <m/>
    <m/>
    <m/>
    <m/>
    <m/>
    <m/>
    <m/>
    <m/>
    <m/>
    <m/>
    <m/>
    <m/>
    <n v="862.90928449692228"/>
    <m/>
    <m/>
    <m/>
    <m/>
    <m/>
  </r>
  <r>
    <x v="2"/>
    <x v="4"/>
    <m/>
    <m/>
    <m/>
    <m/>
    <m/>
    <m/>
    <m/>
    <m/>
    <m/>
    <m/>
    <m/>
    <m/>
    <m/>
    <m/>
    <m/>
    <m/>
    <m/>
    <n v="782.99056010437437"/>
    <m/>
    <m/>
    <m/>
    <m/>
    <m/>
  </r>
  <r>
    <x v="2"/>
    <x v="5"/>
    <m/>
    <m/>
    <m/>
    <m/>
    <m/>
    <m/>
    <m/>
    <m/>
    <m/>
    <m/>
    <m/>
    <m/>
    <m/>
    <m/>
    <m/>
    <m/>
    <m/>
    <n v="816.54935067466499"/>
    <m/>
    <m/>
    <m/>
    <m/>
    <m/>
  </r>
  <r>
    <x v="2"/>
    <x v="6"/>
    <m/>
    <m/>
    <m/>
    <m/>
    <m/>
    <m/>
    <m/>
    <m/>
    <m/>
    <m/>
    <m/>
    <m/>
    <m/>
    <m/>
    <m/>
    <m/>
    <m/>
    <n v="665.56979442376075"/>
    <m/>
    <m/>
    <m/>
    <m/>
    <m/>
  </r>
  <r>
    <x v="2"/>
    <x v="7"/>
    <m/>
    <m/>
    <m/>
    <m/>
    <m/>
    <m/>
    <m/>
    <m/>
    <m/>
    <m/>
    <m/>
    <m/>
    <m/>
    <m/>
    <m/>
    <m/>
    <m/>
    <n v="4918.1491061483994"/>
    <m/>
    <m/>
    <m/>
    <m/>
    <m/>
  </r>
  <r>
    <x v="3"/>
    <x v="0"/>
    <m/>
    <m/>
    <m/>
    <m/>
    <m/>
    <m/>
    <m/>
    <m/>
    <m/>
    <m/>
    <m/>
    <m/>
    <m/>
    <m/>
    <m/>
    <m/>
    <m/>
    <n v="198.60388332457524"/>
    <m/>
    <m/>
    <m/>
    <m/>
    <m/>
  </r>
  <r>
    <x v="3"/>
    <x v="1"/>
    <m/>
    <m/>
    <m/>
    <m/>
    <m/>
    <m/>
    <m/>
    <m/>
    <m/>
    <m/>
    <m/>
    <m/>
    <m/>
    <m/>
    <m/>
    <m/>
    <m/>
    <n v="402.95054999124187"/>
    <m/>
    <m/>
    <m/>
    <m/>
    <m/>
  </r>
  <r>
    <x v="3"/>
    <x v="2"/>
    <m/>
    <m/>
    <m/>
    <m/>
    <m/>
    <m/>
    <m/>
    <m/>
    <m/>
    <m/>
    <m/>
    <m/>
    <m/>
    <m/>
    <m/>
    <m/>
    <m/>
    <n v="464.51313209638192"/>
    <m/>
    <m/>
    <m/>
    <m/>
    <m/>
  </r>
  <r>
    <x v="3"/>
    <x v="3"/>
    <m/>
    <m/>
    <m/>
    <m/>
    <m/>
    <m/>
    <m/>
    <m/>
    <m/>
    <m/>
    <m/>
    <m/>
    <m/>
    <m/>
    <m/>
    <m/>
    <m/>
    <n v="548.59120030607369"/>
    <m/>
    <m/>
    <m/>
    <m/>
    <m/>
  </r>
  <r>
    <x v="3"/>
    <x v="4"/>
    <m/>
    <m/>
    <m/>
    <m/>
    <m/>
    <m/>
    <m/>
    <m/>
    <m/>
    <m/>
    <m/>
    <m/>
    <m/>
    <m/>
    <m/>
    <m/>
    <m/>
    <n v="490.70174444602071"/>
    <m/>
    <m/>
    <m/>
    <m/>
    <m/>
  </r>
  <r>
    <x v="3"/>
    <x v="5"/>
    <m/>
    <m/>
    <m/>
    <m/>
    <m/>
    <m/>
    <m/>
    <m/>
    <m/>
    <m/>
    <m/>
    <m/>
    <m/>
    <m/>
    <m/>
    <m/>
    <m/>
    <n v="518.61677997453364"/>
    <m/>
    <m/>
    <m/>
    <m/>
    <m/>
  </r>
  <r>
    <x v="3"/>
    <x v="6"/>
    <m/>
    <m/>
    <m/>
    <m/>
    <m/>
    <m/>
    <m/>
    <m/>
    <m/>
    <m/>
    <m/>
    <m/>
    <m/>
    <m/>
    <m/>
    <m/>
    <m/>
    <n v="409.46232693688904"/>
    <m/>
    <m/>
    <m/>
    <m/>
    <m/>
  </r>
  <r>
    <x v="3"/>
    <x v="7"/>
    <m/>
    <m/>
    <m/>
    <m/>
    <m/>
    <m/>
    <m/>
    <m/>
    <m/>
    <m/>
    <m/>
    <m/>
    <m/>
    <m/>
    <m/>
    <m/>
    <m/>
    <n v="3033.4396170757159"/>
    <m/>
    <m/>
    <m/>
    <m/>
    <m/>
  </r>
  <r>
    <x v="4"/>
    <x v="0"/>
    <m/>
    <m/>
    <m/>
    <m/>
    <m/>
    <m/>
    <m/>
    <m/>
    <m/>
    <m/>
    <m/>
    <m/>
    <m/>
    <m/>
    <m/>
    <m/>
    <m/>
    <n v="42.225467032553162"/>
    <m/>
    <m/>
    <m/>
    <m/>
    <m/>
  </r>
  <r>
    <x v="4"/>
    <x v="1"/>
    <m/>
    <m/>
    <m/>
    <m/>
    <m/>
    <m/>
    <m/>
    <m/>
    <m/>
    <m/>
    <m/>
    <m/>
    <m/>
    <m/>
    <m/>
    <m/>
    <m/>
    <n v="63.292133699219832"/>
    <m/>
    <m/>
    <m/>
    <m/>
    <m/>
  </r>
  <r>
    <x v="4"/>
    <x v="2"/>
    <m/>
    <m/>
    <m/>
    <m/>
    <m/>
    <m/>
    <m/>
    <m/>
    <m/>
    <m/>
    <m/>
    <m/>
    <m/>
    <m/>
    <m/>
    <m/>
    <m/>
    <n v="94.769956872191855"/>
    <m/>
    <m/>
    <m/>
    <m/>
    <m/>
  </r>
  <r>
    <x v="4"/>
    <x v="3"/>
    <m/>
    <m/>
    <m/>
    <m/>
    <m/>
    <m/>
    <m/>
    <m/>
    <m/>
    <m/>
    <m/>
    <m/>
    <m/>
    <m/>
    <m/>
    <m/>
    <m/>
    <n v="119.24854655912694"/>
    <m/>
    <m/>
    <m/>
    <m/>
    <m/>
  </r>
  <r>
    <x v="4"/>
    <x v="4"/>
    <m/>
    <m/>
    <m/>
    <m/>
    <m/>
    <m/>
    <m/>
    <m/>
    <m/>
    <m/>
    <m/>
    <m/>
    <m/>
    <m/>
    <m/>
    <m/>
    <m/>
    <n v="103.57218682424096"/>
    <m/>
    <m/>
    <m/>
    <m/>
    <m/>
  </r>
  <r>
    <x v="4"/>
    <x v="5"/>
    <m/>
    <m/>
    <m/>
    <m/>
    <m/>
    <m/>
    <m/>
    <m/>
    <m/>
    <m/>
    <m/>
    <m/>
    <m/>
    <m/>
    <m/>
    <m/>
    <m/>
    <n v="112.51400742206501"/>
    <m/>
    <m/>
    <m/>
    <m/>
    <m/>
  </r>
  <r>
    <x v="4"/>
    <x v="6"/>
    <m/>
    <m/>
    <m/>
    <m/>
    <m/>
    <m/>
    <m/>
    <m/>
    <m/>
    <m/>
    <m/>
    <m/>
    <m/>
    <m/>
    <m/>
    <m/>
    <m/>
    <n v="83.034989737854261"/>
    <m/>
    <m/>
    <m/>
    <m/>
    <m/>
  </r>
  <r>
    <x v="4"/>
    <x v="7"/>
    <m/>
    <m/>
    <m/>
    <m/>
    <m/>
    <m/>
    <m/>
    <m/>
    <m/>
    <m/>
    <m/>
    <m/>
    <m/>
    <m/>
    <m/>
    <m/>
    <m/>
    <n v="618.65728814725196"/>
    <m/>
    <m/>
    <m/>
    <m/>
    <m/>
  </r>
  <r>
    <x v="5"/>
    <x v="0"/>
    <m/>
    <m/>
    <m/>
    <m/>
    <m/>
    <m/>
    <m/>
    <m/>
    <m/>
    <m/>
    <m/>
    <m/>
    <m/>
    <m/>
    <m/>
    <m/>
    <m/>
    <n v="547.93081417472126"/>
    <m/>
    <m/>
    <m/>
    <m/>
    <m/>
  </r>
  <r>
    <x v="5"/>
    <x v="1"/>
    <m/>
    <m/>
    <m/>
    <m/>
    <m/>
    <m/>
    <m/>
    <m/>
    <m/>
    <m/>
    <m/>
    <m/>
    <m/>
    <m/>
    <m/>
    <m/>
    <m/>
    <n v="800.73081417472122"/>
    <m/>
    <m/>
    <m/>
    <m/>
    <m/>
  </r>
  <r>
    <x v="5"/>
    <x v="2"/>
    <m/>
    <m/>
    <m/>
    <m/>
    <m/>
    <m/>
    <m/>
    <m/>
    <m/>
    <m/>
    <m/>
    <m/>
    <m/>
    <m/>
    <m/>
    <m/>
    <m/>
    <n v="1226.0967636518681"/>
    <m/>
    <m/>
    <m/>
    <m/>
    <m/>
  </r>
  <r>
    <x v="5"/>
    <x v="3"/>
    <m/>
    <m/>
    <m/>
    <m/>
    <m/>
    <m/>
    <m/>
    <m/>
    <m/>
    <m/>
    <m/>
    <m/>
    <m/>
    <m/>
    <m/>
    <m/>
    <m/>
    <n v="1549.8065625697723"/>
    <m/>
    <m/>
    <m/>
    <m/>
    <m/>
  </r>
  <r>
    <x v="5"/>
    <x v="4"/>
    <m/>
    <m/>
    <m/>
    <m/>
    <m/>
    <m/>
    <m/>
    <m/>
    <m/>
    <m/>
    <m/>
    <m/>
    <m/>
    <m/>
    <m/>
    <m/>
    <m/>
    <n v="1343.2895871360572"/>
    <m/>
    <m/>
    <m/>
    <m/>
    <m/>
  </r>
  <r>
    <x v="5"/>
    <x v="5"/>
    <m/>
    <m/>
    <m/>
    <m/>
    <m/>
    <m/>
    <m/>
    <m/>
    <m/>
    <m/>
    <m/>
    <m/>
    <m/>
    <m/>
    <m/>
    <m/>
    <m/>
    <n v="1462.0847341820331"/>
    <m/>
    <m/>
    <m/>
    <m/>
    <m/>
  </r>
  <r>
    <x v="5"/>
    <x v="6"/>
    <m/>
    <m/>
    <m/>
    <m/>
    <m/>
    <m/>
    <m/>
    <m/>
    <m/>
    <m/>
    <m/>
    <m/>
    <m/>
    <m/>
    <m/>
    <m/>
    <m/>
    <n v="1073.7921132916026"/>
    <m/>
    <m/>
    <m/>
    <m/>
    <m/>
  </r>
  <r>
    <x v="5"/>
    <x v="7"/>
    <m/>
    <m/>
    <m/>
    <m/>
    <m/>
    <m/>
    <m/>
    <m/>
    <m/>
    <m/>
    <m/>
    <m/>
    <m/>
    <m/>
    <m/>
    <m/>
    <m/>
    <n v="8003.7313891807744"/>
    <m/>
    <m/>
    <m/>
    <m/>
    <m/>
  </r>
  <r>
    <x v="6"/>
    <x v="0"/>
    <m/>
    <m/>
    <m/>
    <m/>
    <m/>
    <m/>
    <m/>
    <m/>
    <m/>
    <m/>
    <m/>
    <m/>
    <m/>
    <m/>
    <m/>
    <m/>
    <m/>
    <n v="232.71234937199475"/>
    <m/>
    <m/>
    <m/>
    <m/>
    <m/>
  </r>
  <r>
    <x v="6"/>
    <x v="1"/>
    <m/>
    <m/>
    <m/>
    <m/>
    <m/>
    <m/>
    <m/>
    <m/>
    <m/>
    <m/>
    <m/>
    <m/>
    <m/>
    <m/>
    <m/>
    <m/>
    <m/>
    <n v="285.3790160386614"/>
    <m/>
    <m/>
    <m/>
    <m/>
    <m/>
  </r>
  <r>
    <x v="6"/>
    <x v="2"/>
    <m/>
    <m/>
    <m/>
    <m/>
    <m/>
    <m/>
    <m/>
    <m/>
    <m/>
    <m/>
    <m/>
    <m/>
    <m/>
    <m/>
    <m/>
    <m/>
    <m/>
    <n v="510.98259205432038"/>
    <m/>
    <m/>
    <m/>
    <m/>
    <m/>
  </r>
  <r>
    <x v="6"/>
    <x v="3"/>
    <m/>
    <m/>
    <m/>
    <m/>
    <m/>
    <m/>
    <m/>
    <m/>
    <m/>
    <m/>
    <m/>
    <m/>
    <m/>
    <m/>
    <m/>
    <m/>
    <m/>
    <n v="664.60380602742487"/>
    <m/>
    <m/>
    <m/>
    <m/>
    <m/>
  </r>
  <r>
    <x v="6"/>
    <x v="4"/>
    <m/>
    <m/>
    <m/>
    <m/>
    <m/>
    <m/>
    <m/>
    <m/>
    <m/>
    <m/>
    <m/>
    <m/>
    <m/>
    <m/>
    <m/>
    <m/>
    <m/>
    <n v="568.66075189850267"/>
    <m/>
    <m/>
    <m/>
    <m/>
    <m/>
  </r>
  <r>
    <x v="6"/>
    <x v="5"/>
    <m/>
    <m/>
    <m/>
    <m/>
    <m/>
    <m/>
    <m/>
    <m/>
    <m/>
    <m/>
    <m/>
    <m/>
    <m/>
    <m/>
    <m/>
    <m/>
    <m/>
    <n v="626.46346571446759"/>
    <m/>
    <m/>
    <m/>
    <m/>
    <m/>
  </r>
  <r>
    <x v="6"/>
    <x v="6"/>
    <m/>
    <m/>
    <m/>
    <m/>
    <m/>
    <m/>
    <m/>
    <m/>
    <m/>
    <m/>
    <m/>
    <m/>
    <m/>
    <m/>
    <m/>
    <m/>
    <m/>
    <n v="446.22247272853872"/>
    <m/>
    <m/>
    <m/>
    <m/>
    <m/>
  </r>
  <r>
    <x v="6"/>
    <x v="7"/>
    <m/>
    <m/>
    <m/>
    <m/>
    <m/>
    <m/>
    <m/>
    <m/>
    <m/>
    <m/>
    <m/>
    <m/>
    <m/>
    <m/>
    <m/>
    <m/>
    <m/>
    <n v="3335.0244538339102"/>
    <m/>
    <m/>
    <m/>
    <m/>
    <m/>
  </r>
  <r>
    <x v="7"/>
    <x v="0"/>
    <m/>
    <m/>
    <m/>
    <m/>
    <m/>
    <m/>
    <m/>
    <m/>
    <m/>
    <m/>
    <m/>
    <m/>
    <m/>
    <m/>
    <m/>
    <m/>
    <m/>
    <n v="57.483746089222414"/>
    <m/>
    <m/>
    <m/>
    <m/>
    <m/>
  </r>
  <r>
    <x v="7"/>
    <x v="1"/>
    <m/>
    <m/>
    <m/>
    <m/>
    <m/>
    <m/>
    <m/>
    <m/>
    <m/>
    <m/>
    <m/>
    <m/>
    <m/>
    <m/>
    <m/>
    <m/>
    <m/>
    <n v="88.030412755889074"/>
    <m/>
    <m/>
    <m/>
    <m/>
    <m/>
  </r>
  <r>
    <x v="7"/>
    <x v="2"/>
    <m/>
    <m/>
    <m/>
    <m/>
    <m/>
    <m/>
    <m/>
    <m/>
    <m/>
    <m/>
    <m/>
    <m/>
    <m/>
    <m/>
    <m/>
    <m/>
    <m/>
    <n v="129.34834277256425"/>
    <m/>
    <m/>
    <m/>
    <m/>
    <m/>
  </r>
  <r>
    <x v="7"/>
    <x v="3"/>
    <m/>
    <m/>
    <m/>
    <m/>
    <m/>
    <m/>
    <m/>
    <m/>
    <m/>
    <m/>
    <m/>
    <m/>
    <m/>
    <m/>
    <m/>
    <m/>
    <m/>
    <n v="162.12136878584056"/>
    <m/>
    <m/>
    <m/>
    <m/>
    <m/>
  </r>
  <r>
    <x v="7"/>
    <x v="4"/>
    <m/>
    <m/>
    <m/>
    <m/>
    <m/>
    <m/>
    <m/>
    <m/>
    <m/>
    <m/>
    <m/>
    <m/>
    <m/>
    <m/>
    <m/>
    <m/>
    <m/>
    <n v="141.06139664765345"/>
    <m/>
    <m/>
    <m/>
    <m/>
    <m/>
  </r>
  <r>
    <x v="7"/>
    <x v="5"/>
    <m/>
    <m/>
    <m/>
    <m/>
    <m/>
    <m/>
    <m/>
    <m/>
    <m/>
    <m/>
    <m/>
    <m/>
    <m/>
    <m/>
    <m/>
    <m/>
    <m/>
    <n v="152.98346382742488"/>
    <m/>
    <m/>
    <m/>
    <m/>
    <m/>
  </r>
  <r>
    <x v="7"/>
    <x v="6"/>
    <m/>
    <m/>
    <m/>
    <m/>
    <m/>
    <m/>
    <m/>
    <m/>
    <m/>
    <m/>
    <m/>
    <m/>
    <m/>
    <m/>
    <m/>
    <m/>
    <m/>
    <n v="113.3754635632052"/>
    <m/>
    <m/>
    <m/>
    <m/>
    <m/>
  </r>
  <r>
    <x v="7"/>
    <x v="7"/>
    <m/>
    <m/>
    <m/>
    <m/>
    <m/>
    <m/>
    <m/>
    <m/>
    <m/>
    <m/>
    <m/>
    <m/>
    <m/>
    <m/>
    <m/>
    <m/>
    <m/>
    <n v="844.40419444179986"/>
    <m/>
    <m/>
    <m/>
    <m/>
    <m/>
  </r>
  <r>
    <x v="8"/>
    <x v="0"/>
    <m/>
    <m/>
    <m/>
    <m/>
    <m/>
    <m/>
    <m/>
    <m/>
    <m/>
    <m/>
    <m/>
    <m/>
    <m/>
    <m/>
    <m/>
    <m/>
    <m/>
    <n v="245.08159478569718"/>
    <m/>
    <m/>
    <m/>
    <m/>
    <m/>
  </r>
  <r>
    <x v="8"/>
    <x v="1"/>
    <m/>
    <m/>
    <m/>
    <m/>
    <m/>
    <m/>
    <m/>
    <m/>
    <m/>
    <m/>
    <m/>
    <m/>
    <m/>
    <m/>
    <m/>
    <m/>
    <m/>
    <n v="338.82826145236385"/>
    <m/>
    <m/>
    <m/>
    <m/>
    <m/>
  </r>
  <r>
    <x v="8"/>
    <x v="2"/>
    <m/>
    <m/>
    <m/>
    <m/>
    <m/>
    <m/>
    <m/>
    <m/>
    <m/>
    <m/>
    <m/>
    <m/>
    <m/>
    <m/>
    <m/>
    <m/>
    <m/>
    <n v="544.96898725473886"/>
    <m/>
    <m/>
    <m/>
    <m/>
    <m/>
  </r>
  <r>
    <x v="8"/>
    <x v="3"/>
    <m/>
    <m/>
    <m/>
    <m/>
    <m/>
    <m/>
    <m/>
    <m/>
    <m/>
    <m/>
    <m/>
    <m/>
    <m/>
    <m/>
    <m/>
    <m/>
    <m/>
    <n v="695.46175649646148"/>
    <m/>
    <m/>
    <m/>
    <m/>
    <m/>
  </r>
  <r>
    <x v="8"/>
    <x v="4"/>
    <m/>
    <m/>
    <m/>
    <m/>
    <m/>
    <m/>
    <m/>
    <m/>
    <m/>
    <m/>
    <m/>
    <m/>
    <m/>
    <m/>
    <m/>
    <m/>
    <m/>
    <n v="600.1807329241559"/>
    <m/>
    <m/>
    <m/>
    <m/>
    <m/>
  </r>
  <r>
    <x v="8"/>
    <x v="5"/>
    <m/>
    <m/>
    <m/>
    <m/>
    <m/>
    <m/>
    <m/>
    <m/>
    <m/>
    <m/>
    <m/>
    <m/>
    <m/>
    <m/>
    <m/>
    <m/>
    <m/>
    <n v="655.91273497981877"/>
    <m/>
    <m/>
    <m/>
    <m/>
    <m/>
  </r>
  <r>
    <x v="8"/>
    <x v="6"/>
    <m/>
    <m/>
    <m/>
    <m/>
    <m/>
    <m/>
    <m/>
    <m/>
    <m/>
    <m/>
    <m/>
    <m/>
    <m/>
    <m/>
    <m/>
    <m/>
    <m/>
    <n v="476.81893274823801"/>
    <m/>
    <m/>
    <m/>
    <m/>
    <m/>
  </r>
  <r>
    <x v="8"/>
    <x v="7"/>
    <m/>
    <m/>
    <m/>
    <m/>
    <m/>
    <m/>
    <m/>
    <m/>
    <m/>
    <m/>
    <m/>
    <m/>
    <m/>
    <m/>
    <m/>
    <m/>
    <m/>
    <n v="3557.2530006414736"/>
    <m/>
    <m/>
    <m/>
    <m/>
    <m/>
  </r>
  <r>
    <x v="9"/>
    <x v="0"/>
    <m/>
    <m/>
    <m/>
    <m/>
    <m/>
    <m/>
    <m/>
    <m/>
    <m/>
    <m/>
    <m/>
    <m/>
    <m/>
    <m/>
    <m/>
    <m/>
    <m/>
    <n v="3231.2374439988944"/>
    <m/>
    <m/>
    <m/>
    <m/>
    <m/>
  </r>
  <r>
    <x v="9"/>
    <x v="1"/>
    <m/>
    <m/>
    <m/>
    <m/>
    <m/>
    <m/>
    <m/>
    <m/>
    <m/>
    <m/>
    <m/>
    <m/>
    <m/>
    <m/>
    <m/>
    <m/>
    <m/>
    <n v="4409.9174439988947"/>
    <m/>
    <m/>
    <m/>
    <m/>
    <m/>
  </r>
  <r>
    <x v="9"/>
    <x v="2"/>
    <m/>
    <m/>
    <m/>
    <m/>
    <m/>
    <m/>
    <m/>
    <m/>
    <m/>
    <m/>
    <m/>
    <m/>
    <m/>
    <m/>
    <m/>
    <m/>
    <m/>
    <n v="7174.8334784723811"/>
    <m/>
    <m/>
    <m/>
    <m/>
    <m/>
  </r>
  <r>
    <x v="9"/>
    <x v="3"/>
    <m/>
    <m/>
    <m/>
    <m/>
    <m/>
    <m/>
    <m/>
    <m/>
    <m/>
    <m/>
    <m/>
    <m/>
    <m/>
    <m/>
    <m/>
    <m/>
    <m/>
    <n v="9175.8874827642157"/>
    <m/>
    <m/>
    <m/>
    <m/>
    <m/>
  </r>
  <r>
    <x v="9"/>
    <x v="4"/>
    <m/>
    <m/>
    <m/>
    <m/>
    <m/>
    <m/>
    <m/>
    <m/>
    <m/>
    <m/>
    <m/>
    <m/>
    <m/>
    <m/>
    <m/>
    <m/>
    <m/>
    <n v="7911.0453441006421"/>
    <m/>
    <m/>
    <m/>
    <m/>
    <m/>
  </r>
  <r>
    <x v="9"/>
    <x v="5"/>
    <m/>
    <m/>
    <m/>
    <m/>
    <m/>
    <m/>
    <m/>
    <m/>
    <m/>
    <m/>
    <m/>
    <m/>
    <m/>
    <m/>
    <m/>
    <m/>
    <m/>
    <n v="8653.5339753754124"/>
    <m/>
    <m/>
    <m/>
    <m/>
    <m/>
  </r>
  <r>
    <x v="9"/>
    <x v="6"/>
    <m/>
    <m/>
    <m/>
    <m/>
    <m/>
    <m/>
    <m/>
    <m/>
    <m/>
    <m/>
    <m/>
    <m/>
    <m/>
    <m/>
    <m/>
    <m/>
    <m/>
    <n v="6276.2422554446293"/>
    <m/>
    <m/>
    <m/>
    <m/>
    <m/>
  </r>
  <r>
    <x v="9"/>
    <x v="7"/>
    <m/>
    <m/>
    <m/>
    <m/>
    <m/>
    <m/>
    <m/>
    <m/>
    <m/>
    <m/>
    <m/>
    <m/>
    <m/>
    <m/>
    <m/>
    <m/>
    <m/>
    <n v="46832.697424155071"/>
    <m/>
    <m/>
    <m/>
    <m/>
    <m/>
  </r>
  <r>
    <x v="10"/>
    <x v="0"/>
    <m/>
    <m/>
    <m/>
    <m/>
    <m/>
    <m/>
    <m/>
    <m/>
    <m/>
    <m/>
    <m/>
    <m/>
    <m/>
    <m/>
    <m/>
    <m/>
    <m/>
    <n v="4559.1306791947191"/>
    <m/>
    <m/>
    <m/>
    <m/>
    <m/>
  </r>
  <r>
    <x v="10"/>
    <x v="1"/>
    <m/>
    <m/>
    <m/>
    <m/>
    <m/>
    <m/>
    <m/>
    <m/>
    <m/>
    <m/>
    <m/>
    <m/>
    <m/>
    <m/>
    <m/>
    <m/>
    <m/>
    <n v="5420.7573458613861"/>
    <m/>
    <m/>
    <m/>
    <m/>
    <m/>
  </r>
  <r>
    <x v="10"/>
    <x v="2"/>
    <m/>
    <m/>
    <m/>
    <m/>
    <m/>
    <m/>
    <m/>
    <m/>
    <m/>
    <m/>
    <m/>
    <m/>
    <m/>
    <m/>
    <m/>
    <m/>
    <m/>
    <n v="9980.4510191099744"/>
    <m/>
    <m/>
    <m/>
    <m/>
    <m/>
  </r>
  <r>
    <x v="10"/>
    <x v="3"/>
    <m/>
    <m/>
    <m/>
    <m/>
    <m/>
    <m/>
    <m/>
    <m/>
    <m/>
    <m/>
    <m/>
    <m/>
    <m/>
    <m/>
    <m/>
    <m/>
    <m/>
    <n v="13040.293510403892"/>
    <m/>
    <m/>
    <m/>
    <m/>
    <m/>
  </r>
  <r>
    <x v="10"/>
    <x v="4"/>
    <m/>
    <m/>
    <m/>
    <m/>
    <m/>
    <m/>
    <m/>
    <m/>
    <m/>
    <m/>
    <m/>
    <m/>
    <m/>
    <m/>
    <m/>
    <m/>
    <m/>
    <n v="11135.033196290158"/>
    <m/>
    <m/>
    <m/>
    <m/>
    <m/>
  </r>
  <r>
    <x v="10"/>
    <x v="5"/>
    <m/>
    <m/>
    <m/>
    <m/>
    <m/>
    <m/>
    <m/>
    <m/>
    <m/>
    <m/>
    <m/>
    <m/>
    <m/>
    <m/>
    <m/>
    <m/>
    <m/>
    <n v="12290.325842106104"/>
    <m/>
    <m/>
    <m/>
    <m/>
    <m/>
  </r>
  <r>
    <x v="10"/>
    <x v="6"/>
    <m/>
    <m/>
    <m/>
    <m/>
    <m/>
    <m/>
    <m/>
    <m/>
    <m/>
    <m/>
    <m/>
    <m/>
    <m/>
    <m/>
    <m/>
    <m/>
    <m/>
    <n v="8711.4857943784336"/>
    <m/>
    <m/>
    <m/>
    <m/>
    <m/>
  </r>
  <r>
    <x v="10"/>
    <x v="7"/>
    <m/>
    <m/>
    <m/>
    <m/>
    <m/>
    <m/>
    <m/>
    <m/>
    <m/>
    <m/>
    <m/>
    <m/>
    <m/>
    <m/>
    <m/>
    <m/>
    <m/>
    <n v="65137.477387344668"/>
    <m/>
    <m/>
    <m/>
    <m/>
    <m/>
  </r>
  <r>
    <x v="11"/>
    <x v="0"/>
    <m/>
    <m/>
    <m/>
    <m/>
    <m/>
    <m/>
    <m/>
    <m/>
    <m/>
    <m/>
    <m/>
    <m/>
    <m/>
    <m/>
    <m/>
    <m/>
    <m/>
    <n v="509.61162674898094"/>
    <m/>
    <m/>
    <m/>
    <m/>
    <m/>
  </r>
  <r>
    <x v="11"/>
    <x v="1"/>
    <m/>
    <m/>
    <m/>
    <m/>
    <m/>
    <m/>
    <m/>
    <m/>
    <m/>
    <m/>
    <m/>
    <m/>
    <m/>
    <m/>
    <m/>
    <m/>
    <m/>
    <n v="1091.0516267489809"/>
    <m/>
    <m/>
    <m/>
    <m/>
    <m/>
  </r>
  <r>
    <x v="11"/>
    <x v="2"/>
    <m/>
    <m/>
    <m/>
    <m/>
    <m/>
    <m/>
    <m/>
    <m/>
    <m/>
    <m/>
    <m/>
    <m/>
    <m/>
    <m/>
    <m/>
    <m/>
    <m/>
    <n v="1202.1078310602834"/>
    <m/>
    <m/>
    <m/>
    <m/>
    <m/>
  </r>
  <r>
    <x v="11"/>
    <x v="3"/>
    <m/>
    <m/>
    <m/>
    <m/>
    <m/>
    <m/>
    <m/>
    <m/>
    <m/>
    <m/>
    <m/>
    <m/>
    <m/>
    <m/>
    <m/>
    <m/>
    <m/>
    <n v="1401.0058269938374"/>
    <m/>
    <m/>
    <m/>
    <m/>
    <m/>
  </r>
  <r>
    <x v="11"/>
    <x v="4"/>
    <m/>
    <m/>
    <m/>
    <m/>
    <m/>
    <m/>
    <m/>
    <m/>
    <m/>
    <m/>
    <m/>
    <m/>
    <m/>
    <m/>
    <m/>
    <m/>
    <m/>
    <n v="1261.0562550181319"/>
    <m/>
    <m/>
    <m/>
    <m/>
    <m/>
  </r>
  <r>
    <x v="11"/>
    <x v="5"/>
    <m/>
    <m/>
    <m/>
    <m/>
    <m/>
    <m/>
    <m/>
    <m/>
    <m/>
    <m/>
    <m/>
    <m/>
    <m/>
    <m/>
    <m/>
    <m/>
    <m/>
    <n v="1325.0149145994128"/>
    <m/>
    <m/>
    <m/>
    <m/>
    <m/>
  </r>
  <r>
    <x v="11"/>
    <x v="6"/>
    <m/>
    <m/>
    <m/>
    <m/>
    <m/>
    <m/>
    <m/>
    <m/>
    <m/>
    <m/>
    <m/>
    <m/>
    <m/>
    <m/>
    <m/>
    <m/>
    <m/>
    <n v="1060.9270044352775"/>
    <m/>
    <m/>
    <m/>
    <m/>
    <m/>
  </r>
  <r>
    <x v="11"/>
    <x v="7"/>
    <m/>
    <m/>
    <m/>
    <m/>
    <m/>
    <m/>
    <m/>
    <m/>
    <m/>
    <m/>
    <m/>
    <m/>
    <m/>
    <m/>
    <m/>
    <m/>
    <m/>
    <n v="7850.7750856049042"/>
    <m/>
    <m/>
    <m/>
    <m/>
    <m/>
  </r>
  <r>
    <x v="12"/>
    <x v="0"/>
    <m/>
    <m/>
    <m/>
    <m/>
    <m/>
    <m/>
    <m/>
    <m/>
    <m/>
    <m/>
    <m/>
    <m/>
    <m/>
    <m/>
    <m/>
    <m/>
    <m/>
    <n v="501.68784576309463"/>
    <m/>
    <m/>
    <m/>
    <m/>
    <m/>
  </r>
  <r>
    <x v="12"/>
    <x v="1"/>
    <m/>
    <m/>
    <m/>
    <m/>
    <m/>
    <m/>
    <m/>
    <m/>
    <m/>
    <m/>
    <m/>
    <m/>
    <m/>
    <m/>
    <m/>
    <m/>
    <m/>
    <n v="957.78117909642799"/>
    <m/>
    <m/>
    <m/>
    <m/>
    <m/>
  </r>
  <r>
    <x v="12"/>
    <x v="2"/>
    <m/>
    <m/>
    <m/>
    <m/>
    <m/>
    <m/>
    <m/>
    <m/>
    <m/>
    <m/>
    <m/>
    <m/>
    <m/>
    <m/>
    <m/>
    <m/>
    <m/>
    <n v="1162.676400105343"/>
    <m/>
    <m/>
    <m/>
    <m/>
    <m/>
  </r>
  <r>
    <x v="12"/>
    <x v="3"/>
    <m/>
    <m/>
    <m/>
    <m/>
    <m/>
    <m/>
    <m/>
    <m/>
    <m/>
    <m/>
    <m/>
    <m/>
    <m/>
    <m/>
    <m/>
    <m/>
    <m/>
    <n v="1392.795152901097"/>
    <m/>
    <m/>
    <m/>
    <m/>
    <m/>
  </r>
  <r>
    <x v="12"/>
    <x v="4"/>
    <m/>
    <m/>
    <m/>
    <m/>
    <m/>
    <m/>
    <m/>
    <m/>
    <m/>
    <m/>
    <m/>
    <m/>
    <m/>
    <m/>
    <m/>
    <m/>
    <m/>
    <n v="1237.5163063082407"/>
    <m/>
    <m/>
    <m/>
    <m/>
    <m/>
  </r>
  <r>
    <x v="12"/>
    <x v="5"/>
    <m/>
    <m/>
    <m/>
    <m/>
    <m/>
    <m/>
    <m/>
    <m/>
    <m/>
    <m/>
    <m/>
    <m/>
    <m/>
    <m/>
    <m/>
    <m/>
    <m/>
    <n v="1316.1064179793516"/>
    <m/>
    <m/>
    <m/>
    <m/>
    <m/>
  </r>
  <r>
    <x v="12"/>
    <x v="6"/>
    <m/>
    <m/>
    <m/>
    <m/>
    <m/>
    <m/>
    <m/>
    <m/>
    <m/>
    <m/>
    <m/>
    <m/>
    <m/>
    <m/>
    <m/>
    <m/>
    <m/>
    <n v="1023.5320663374099"/>
    <m/>
    <m/>
    <m/>
    <m/>
    <m/>
  </r>
  <r>
    <x v="12"/>
    <x v="7"/>
    <m/>
    <m/>
    <m/>
    <m/>
    <m/>
    <m/>
    <m/>
    <m/>
    <m/>
    <m/>
    <m/>
    <m/>
    <m/>
    <m/>
    <m/>
    <m/>
    <m/>
    <n v="7592.0953684909637"/>
    <m/>
    <m/>
    <m/>
    <m/>
    <m/>
  </r>
  <r>
    <x v="13"/>
    <x v="0"/>
    <m/>
    <m/>
    <m/>
    <m/>
    <m/>
    <m/>
    <m/>
    <m/>
    <m/>
    <m/>
    <m/>
    <m/>
    <m/>
    <m/>
    <m/>
    <m/>
    <m/>
    <n v="314.77088220924941"/>
    <m/>
    <m/>
    <m/>
    <m/>
    <m/>
  </r>
  <r>
    <x v="13"/>
    <x v="1"/>
    <m/>
    <m/>
    <m/>
    <m/>
    <m/>
    <m/>
    <m/>
    <m/>
    <m/>
    <m/>
    <m/>
    <m/>
    <m/>
    <m/>
    <m/>
    <m/>
    <m/>
    <n v="422.21088220924941"/>
    <m/>
    <m/>
    <m/>
    <m/>
    <m/>
  </r>
  <r>
    <x v="13"/>
    <x v="2"/>
    <m/>
    <m/>
    <m/>
    <m/>
    <m/>
    <m/>
    <m/>
    <m/>
    <m/>
    <m/>
    <m/>
    <m/>
    <m/>
    <m/>
    <m/>
    <m/>
    <m/>
    <n v="697.61992323696836"/>
    <m/>
    <m/>
    <m/>
    <m/>
    <m/>
  </r>
  <r>
    <x v="13"/>
    <x v="3"/>
    <m/>
    <m/>
    <m/>
    <m/>
    <m/>
    <m/>
    <m/>
    <m/>
    <m/>
    <m/>
    <m/>
    <m/>
    <m/>
    <m/>
    <m/>
    <m/>
    <m/>
    <n v="894.7301395997888"/>
    <m/>
    <m/>
    <m/>
    <m/>
    <m/>
  </r>
  <r>
    <x v="13"/>
    <x v="4"/>
    <m/>
    <m/>
    <m/>
    <m/>
    <m/>
    <m/>
    <m/>
    <m/>
    <m/>
    <m/>
    <m/>
    <m/>
    <m/>
    <m/>
    <m/>
    <m/>
    <m/>
    <n v="770.40465699317338"/>
    <m/>
    <m/>
    <m/>
    <m/>
    <m/>
  </r>
  <r>
    <x v="13"/>
    <x v="5"/>
    <m/>
    <m/>
    <m/>
    <m/>
    <m/>
    <m/>
    <m/>
    <m/>
    <m/>
    <m/>
    <m/>
    <m/>
    <m/>
    <m/>
    <m/>
    <m/>
    <m/>
    <n v="843.72582089611694"/>
    <m/>
    <m/>
    <m/>
    <m/>
    <m/>
  </r>
  <r>
    <x v="13"/>
    <x v="6"/>
    <m/>
    <m/>
    <m/>
    <m/>
    <m/>
    <m/>
    <m/>
    <m/>
    <m/>
    <m/>
    <m/>
    <m/>
    <m/>
    <m/>
    <m/>
    <m/>
    <m/>
    <n v="610.07362051198265"/>
    <m/>
    <m/>
    <m/>
    <m/>
    <m/>
  </r>
  <r>
    <x v="13"/>
    <x v="7"/>
    <m/>
    <m/>
    <m/>
    <m/>
    <m/>
    <m/>
    <m/>
    <m/>
    <m/>
    <m/>
    <m/>
    <m/>
    <m/>
    <m/>
    <m/>
    <m/>
    <m/>
    <n v="4553.5359256565289"/>
    <m/>
    <m/>
    <m/>
    <m/>
    <m/>
  </r>
  <r>
    <x v="14"/>
    <x v="0"/>
    <m/>
    <m/>
    <m/>
    <m/>
    <m/>
    <m/>
    <m/>
    <m/>
    <m/>
    <m/>
    <m/>
    <m/>
    <m/>
    <m/>
    <m/>
    <m/>
    <m/>
    <n v="2783.544592229493"/>
    <m/>
    <m/>
    <m/>
    <m/>
    <m/>
  </r>
  <r>
    <x v="14"/>
    <x v="1"/>
    <m/>
    <m/>
    <m/>
    <m/>
    <m/>
    <m/>
    <m/>
    <m/>
    <m/>
    <m/>
    <m/>
    <m/>
    <m/>
    <m/>
    <m/>
    <m/>
    <m/>
    <n v="3922.1979255628266"/>
    <m/>
    <m/>
    <m/>
    <m/>
    <m/>
  </r>
  <r>
    <x v="14"/>
    <x v="2"/>
    <m/>
    <m/>
    <m/>
    <m/>
    <m/>
    <m/>
    <m/>
    <m/>
    <m/>
    <m/>
    <m/>
    <m/>
    <m/>
    <m/>
    <m/>
    <m/>
    <m/>
    <n v="6202.7335177760378"/>
    <m/>
    <m/>
    <m/>
    <m/>
    <m/>
  </r>
  <r>
    <x v="14"/>
    <x v="3"/>
    <m/>
    <m/>
    <m/>
    <m/>
    <m/>
    <m/>
    <m/>
    <m/>
    <m/>
    <m/>
    <m/>
    <m/>
    <m/>
    <m/>
    <m/>
    <m/>
    <m/>
    <n v="7890.1672335105441"/>
    <m/>
    <m/>
    <m/>
    <m/>
    <m/>
  </r>
  <r>
    <x v="14"/>
    <x v="4"/>
    <m/>
    <m/>
    <m/>
    <m/>
    <m/>
    <m/>
    <m/>
    <m/>
    <m/>
    <m/>
    <m/>
    <m/>
    <m/>
    <m/>
    <m/>
    <m/>
    <m/>
    <n v="6819.1260365560202"/>
    <m/>
    <m/>
    <m/>
    <m/>
    <m/>
  </r>
  <r>
    <x v="14"/>
    <x v="5"/>
    <m/>
    <m/>
    <m/>
    <m/>
    <m/>
    <m/>
    <m/>
    <m/>
    <m/>
    <m/>
    <m/>
    <m/>
    <m/>
    <m/>
    <m/>
    <m/>
    <m/>
    <n v="7442.1786886191721"/>
    <m/>
    <m/>
    <m/>
    <m/>
    <m/>
  </r>
  <r>
    <x v="14"/>
    <x v="6"/>
    <m/>
    <m/>
    <m/>
    <m/>
    <m/>
    <m/>
    <m/>
    <m/>
    <m/>
    <m/>
    <m/>
    <m/>
    <m/>
    <m/>
    <m/>
    <m/>
    <m/>
    <n v="5428.8116696203624"/>
    <m/>
    <m/>
    <m/>
    <m/>
    <m/>
  </r>
  <r>
    <x v="14"/>
    <x v="7"/>
    <m/>
    <m/>
    <m/>
    <m/>
    <m/>
    <m/>
    <m/>
    <m/>
    <m/>
    <m/>
    <m/>
    <m/>
    <m/>
    <m/>
    <m/>
    <m/>
    <m/>
    <n v="40488.759663874458"/>
    <m/>
    <m/>
    <m/>
    <m/>
    <m/>
  </r>
  <r>
    <x v="15"/>
    <x v="0"/>
    <m/>
    <m/>
    <m/>
    <m/>
    <m/>
    <m/>
    <m/>
    <m/>
    <m/>
    <m/>
    <m/>
    <m/>
    <m/>
    <m/>
    <m/>
    <m/>
    <m/>
    <n v="86.041190728593421"/>
    <m/>
    <m/>
    <m/>
    <m/>
    <m/>
  </r>
  <r>
    <x v="15"/>
    <x v="1"/>
    <m/>
    <m/>
    <m/>
    <m/>
    <m/>
    <m/>
    <m/>
    <m/>
    <m/>
    <m/>
    <m/>
    <m/>
    <m/>
    <m/>
    <m/>
    <m/>
    <m/>
    <n v="160.82785739526008"/>
    <m/>
    <m/>
    <m/>
    <m/>
    <m/>
  </r>
  <r>
    <x v="15"/>
    <x v="2"/>
    <m/>
    <m/>
    <m/>
    <m/>
    <m/>
    <m/>
    <m/>
    <m/>
    <m/>
    <m/>
    <m/>
    <m/>
    <m/>
    <m/>
    <m/>
    <m/>
    <m/>
    <n v="198.79047128606609"/>
    <m/>
    <m/>
    <m/>
    <m/>
    <m/>
  </r>
  <r>
    <x v="15"/>
    <x v="3"/>
    <m/>
    <m/>
    <m/>
    <m/>
    <m/>
    <m/>
    <m/>
    <m/>
    <m/>
    <m/>
    <m/>
    <m/>
    <m/>
    <m/>
    <m/>
    <m/>
    <m/>
    <n v="239.27001737083037"/>
    <m/>
    <m/>
    <m/>
    <m/>
    <m/>
  </r>
  <r>
    <x v="15"/>
    <x v="4"/>
    <m/>
    <m/>
    <m/>
    <m/>
    <m/>
    <m/>
    <m/>
    <m/>
    <m/>
    <m/>
    <m/>
    <m/>
    <m/>
    <m/>
    <m/>
    <m/>
    <m/>
    <n v="212.12217078572331"/>
    <m/>
    <m/>
    <m/>
    <m/>
    <m/>
  </r>
  <r>
    <x v="15"/>
    <x v="5"/>
    <m/>
    <m/>
    <m/>
    <m/>
    <m/>
    <m/>
    <m/>
    <m/>
    <m/>
    <m/>
    <m/>
    <m/>
    <m/>
    <m/>
    <m/>
    <m/>
    <m/>
    <n v="226.06213121764577"/>
    <m/>
    <m/>
    <m/>
    <m/>
    <m/>
  </r>
  <r>
    <x v="15"/>
    <x v="6"/>
    <m/>
    <m/>
    <m/>
    <m/>
    <m/>
    <m/>
    <m/>
    <m/>
    <m/>
    <m/>
    <m/>
    <m/>
    <m/>
    <m/>
    <m/>
    <m/>
    <m/>
    <n v="174.92205318885004"/>
    <m/>
    <m/>
    <m/>
    <m/>
    <m/>
  </r>
  <r>
    <x v="15"/>
    <x v="7"/>
    <m/>
    <m/>
    <m/>
    <m/>
    <m/>
    <m/>
    <m/>
    <m/>
    <m/>
    <m/>
    <m/>
    <m/>
    <m/>
    <m/>
    <m/>
    <m/>
    <m/>
    <n v="1298.035891972969"/>
    <m/>
    <m/>
    <m/>
    <m/>
    <m/>
  </r>
  <r>
    <x v="16"/>
    <x v="0"/>
    <m/>
    <m/>
    <m/>
    <m/>
    <m/>
    <m/>
    <m/>
    <m/>
    <m/>
    <m/>
    <m/>
    <m/>
    <m/>
    <m/>
    <m/>
    <m/>
    <m/>
    <n v="137.28775151908243"/>
    <m/>
    <m/>
    <m/>
    <m/>
    <m/>
  </r>
  <r>
    <x v="16"/>
    <x v="1"/>
    <m/>
    <m/>
    <m/>
    <m/>
    <m/>
    <m/>
    <m/>
    <m/>
    <m/>
    <m/>
    <m/>
    <m/>
    <m/>
    <m/>
    <m/>
    <m/>
    <m/>
    <n v="244.72775151908246"/>
    <m/>
    <m/>
    <m/>
    <m/>
    <m/>
  </r>
  <r>
    <x v="16"/>
    <x v="2"/>
    <m/>
    <m/>
    <m/>
    <m/>
    <m/>
    <m/>
    <m/>
    <m/>
    <m/>
    <m/>
    <m/>
    <m/>
    <m/>
    <m/>
    <m/>
    <m/>
    <m/>
    <n v="315.07078565757394"/>
    <m/>
    <m/>
    <m/>
    <m/>
    <m/>
  </r>
  <r>
    <x v="16"/>
    <x v="3"/>
    <m/>
    <m/>
    <m/>
    <m/>
    <m/>
    <m/>
    <m/>
    <m/>
    <m/>
    <m/>
    <m/>
    <m/>
    <m/>
    <m/>
    <m/>
    <m/>
    <m/>
    <n v="383.16800767341988"/>
    <m/>
    <m/>
    <m/>
    <m/>
    <m/>
  </r>
  <r>
    <x v="16"/>
    <x v="4"/>
    <m/>
    <m/>
    <m/>
    <m/>
    <m/>
    <m/>
    <m/>
    <m/>
    <m/>
    <m/>
    <m/>
    <m/>
    <m/>
    <m/>
    <m/>
    <m/>
    <m/>
    <n v="338.0612001171101"/>
    <m/>
    <m/>
    <m/>
    <m/>
    <m/>
  </r>
  <r>
    <x v="16"/>
    <x v="5"/>
    <m/>
    <m/>
    <m/>
    <m/>
    <m/>
    <m/>
    <m/>
    <m/>
    <m/>
    <m/>
    <m/>
    <m/>
    <m/>
    <m/>
    <m/>
    <m/>
    <m/>
    <n v="361.90130973451352"/>
    <m/>
    <m/>
    <m/>
    <m/>
    <m/>
  </r>
  <r>
    <x v="16"/>
    <x v="6"/>
    <m/>
    <m/>
    <m/>
    <m/>
    <m/>
    <m/>
    <m/>
    <m/>
    <m/>
    <m/>
    <m/>
    <m/>
    <m/>
    <m/>
    <m/>
    <m/>
    <m/>
    <n v="276.96999718723612"/>
    <m/>
    <m/>
    <m/>
    <m/>
    <m/>
  </r>
  <r>
    <x v="16"/>
    <x v="7"/>
    <m/>
    <m/>
    <m/>
    <m/>
    <m/>
    <m/>
    <m/>
    <m/>
    <m/>
    <m/>
    <m/>
    <m/>
    <m/>
    <m/>
    <m/>
    <m/>
    <m/>
    <n v="2057.1868034080185"/>
    <m/>
    <m/>
    <m/>
    <m/>
    <m/>
  </r>
  <r>
    <x v="17"/>
    <x v="0"/>
    <m/>
    <m/>
    <m/>
    <m/>
    <m/>
    <m/>
    <m/>
    <m/>
    <m/>
    <m/>
    <m/>
    <m/>
    <m/>
    <m/>
    <m/>
    <m/>
    <m/>
    <n v="103.45790708504438"/>
    <m/>
    <m/>
    <m/>
    <m/>
    <m/>
  </r>
  <r>
    <x v="17"/>
    <x v="1"/>
    <m/>
    <m/>
    <m/>
    <m/>
    <m/>
    <m/>
    <m/>
    <m/>
    <m/>
    <m/>
    <m/>
    <m/>
    <m/>
    <m/>
    <m/>
    <m/>
    <m/>
    <n v="113.99124041837771"/>
    <m/>
    <m/>
    <m/>
    <m/>
    <m/>
  </r>
  <r>
    <x v="17"/>
    <x v="2"/>
    <m/>
    <m/>
    <m/>
    <m/>
    <m/>
    <m/>
    <m/>
    <m/>
    <m/>
    <m/>
    <m/>
    <m/>
    <m/>
    <m/>
    <m/>
    <m/>
    <m/>
    <n v="224.87269239551009"/>
    <m/>
    <m/>
    <m/>
    <m/>
    <m/>
  </r>
  <r>
    <x v="17"/>
    <x v="3"/>
    <m/>
    <m/>
    <m/>
    <m/>
    <m/>
    <m/>
    <m/>
    <m/>
    <m/>
    <m/>
    <m/>
    <m/>
    <m/>
    <m/>
    <m/>
    <m/>
    <m/>
    <n v="296.96892897094267"/>
    <m/>
    <m/>
    <m/>
    <m/>
    <m/>
  </r>
  <r>
    <x v="17"/>
    <x v="4"/>
    <m/>
    <m/>
    <m/>
    <m/>
    <m/>
    <m/>
    <m/>
    <m/>
    <m/>
    <m/>
    <m/>
    <m/>
    <m/>
    <m/>
    <m/>
    <m/>
    <m/>
    <n v="252.37640787941493"/>
    <m/>
    <m/>
    <m/>
    <m/>
    <m/>
  </r>
  <r>
    <x v="17"/>
    <x v="5"/>
    <m/>
    <m/>
    <m/>
    <m/>
    <m/>
    <m/>
    <m/>
    <m/>
    <m/>
    <m/>
    <m/>
    <m/>
    <m/>
    <m/>
    <m/>
    <m/>
    <m/>
    <n v="279.80457607469202"/>
    <m/>
    <m/>
    <m/>
    <m/>
    <m/>
  </r>
  <r>
    <x v="17"/>
    <x v="6"/>
    <m/>
    <m/>
    <m/>
    <m/>
    <m/>
    <m/>
    <m/>
    <m/>
    <m/>
    <m/>
    <m/>
    <m/>
    <m/>
    <m/>
    <m/>
    <m/>
    <m/>
    <n v="196.06444010478432"/>
    <m/>
    <m/>
    <m/>
    <m/>
    <m/>
  </r>
  <r>
    <x v="17"/>
    <x v="7"/>
    <m/>
    <m/>
    <m/>
    <m/>
    <m/>
    <m/>
    <m/>
    <m/>
    <m/>
    <m/>
    <m/>
    <m/>
    <m/>
    <m/>
    <m/>
    <m/>
    <m/>
    <n v="1467.5361929287662"/>
    <m/>
    <m/>
    <m/>
    <m/>
    <m/>
  </r>
  <r>
    <x v="18"/>
    <x v="0"/>
    <m/>
    <m/>
    <m/>
    <m/>
    <m/>
    <m/>
    <m/>
    <m/>
    <m/>
    <m/>
    <m/>
    <m/>
    <m/>
    <m/>
    <m/>
    <m/>
    <m/>
    <n v="12.555247753785933"/>
    <m/>
    <m/>
    <m/>
    <m/>
    <m/>
  </r>
  <r>
    <x v="18"/>
    <x v="1"/>
    <m/>
    <m/>
    <m/>
    <m/>
    <m/>
    <m/>
    <m/>
    <m/>
    <m/>
    <m/>
    <m/>
    <m/>
    <m/>
    <m/>
    <m/>
    <m/>
    <m/>
    <n v="19.928581087119269"/>
    <m/>
    <m/>
    <m/>
    <m/>
    <m/>
  </r>
  <r>
    <x v="18"/>
    <x v="2"/>
    <m/>
    <m/>
    <m/>
    <m/>
    <m/>
    <m/>
    <m/>
    <m/>
    <m/>
    <m/>
    <m/>
    <m/>
    <m/>
    <m/>
    <m/>
    <m/>
    <m/>
    <n v="28.376570810263992"/>
    <m/>
    <m/>
    <m/>
    <m/>
    <m/>
  </r>
  <r>
    <x v="18"/>
    <x v="3"/>
    <m/>
    <m/>
    <m/>
    <m/>
    <m/>
    <m/>
    <m/>
    <m/>
    <m/>
    <m/>
    <m/>
    <m/>
    <m/>
    <m/>
    <m/>
    <m/>
    <m/>
    <n v="35.327688250093139"/>
    <m/>
    <m/>
    <m/>
    <m/>
    <m/>
  </r>
  <r>
    <x v="18"/>
    <x v="4"/>
    <m/>
    <m/>
    <m/>
    <m/>
    <m/>
    <m/>
    <m/>
    <m/>
    <m/>
    <m/>
    <m/>
    <m/>
    <m/>
    <m/>
    <m/>
    <m/>
    <m/>
    <n v="30.833484000724415"/>
    <m/>
    <m/>
    <m/>
    <m/>
    <m/>
  </r>
  <r>
    <x v="18"/>
    <x v="5"/>
    <m/>
    <m/>
    <m/>
    <m/>
    <m/>
    <m/>
    <m/>
    <m/>
    <m/>
    <m/>
    <m/>
    <m/>
    <m/>
    <m/>
    <m/>
    <m/>
    <m/>
    <n v="33.343178778458686"/>
    <m/>
    <m/>
    <m/>
    <m/>
    <m/>
  </r>
  <r>
    <x v="18"/>
    <x v="6"/>
    <m/>
    <m/>
    <m/>
    <m/>
    <m/>
    <m/>
    <m/>
    <m/>
    <m/>
    <m/>
    <m/>
    <m/>
    <m/>
    <m/>
    <m/>
    <m/>
    <m/>
    <n v="24.888829467795286"/>
    <m/>
    <m/>
    <m/>
    <m/>
    <m/>
  </r>
  <r>
    <x v="18"/>
    <x v="7"/>
    <m/>
    <m/>
    <m/>
    <m/>
    <m/>
    <m/>
    <m/>
    <m/>
    <m/>
    <m/>
    <m/>
    <m/>
    <m/>
    <m/>
    <m/>
    <m/>
    <m/>
    <n v="185.25358014824073"/>
    <m/>
    <m/>
    <m/>
    <m/>
    <m/>
  </r>
  <r>
    <x v="19"/>
    <x v="0"/>
    <m/>
    <m/>
    <m/>
    <m/>
    <m/>
    <m/>
    <m/>
    <m/>
    <m/>
    <m/>
    <m/>
    <m/>
    <m/>
    <m/>
    <m/>
    <m/>
    <m/>
    <n v="788.94658710421743"/>
    <m/>
    <m/>
    <m/>
    <m/>
    <m/>
  </r>
  <r>
    <x v="19"/>
    <x v="1"/>
    <m/>
    <m/>
    <m/>
    <m/>
    <m/>
    <m/>
    <m/>
    <m/>
    <m/>
    <m/>
    <m/>
    <m/>
    <m/>
    <m/>
    <m/>
    <m/>
    <m/>
    <n v="905.86658710421739"/>
    <m/>
    <m/>
    <m/>
    <m/>
    <m/>
  </r>
  <r>
    <x v="19"/>
    <x v="2"/>
    <m/>
    <m/>
    <m/>
    <m/>
    <m/>
    <m/>
    <m/>
    <m/>
    <m/>
    <m/>
    <m/>
    <m/>
    <m/>
    <m/>
    <m/>
    <m/>
    <m/>
    <n v="1721.3540942078107"/>
    <m/>
    <m/>
    <m/>
    <m/>
    <m/>
  </r>
  <r>
    <x v="19"/>
    <x v="3"/>
    <m/>
    <m/>
    <m/>
    <m/>
    <m/>
    <m/>
    <m/>
    <m/>
    <m/>
    <m/>
    <m/>
    <m/>
    <m/>
    <m/>
    <m/>
    <m/>
    <m/>
    <n v="2260.3471337773067"/>
    <m/>
    <m/>
    <m/>
    <m/>
    <m/>
  </r>
  <r>
    <x v="19"/>
    <x v="4"/>
    <m/>
    <m/>
    <m/>
    <m/>
    <m/>
    <m/>
    <m/>
    <m/>
    <m/>
    <m/>
    <m/>
    <m/>
    <m/>
    <m/>
    <m/>
    <m/>
    <m/>
    <n v="1925.8026254464951"/>
    <m/>
    <m/>
    <m/>
    <m/>
    <m/>
  </r>
  <r>
    <x v="19"/>
    <x v="5"/>
    <m/>
    <m/>
    <m/>
    <m/>
    <m/>
    <m/>
    <m/>
    <m/>
    <m/>
    <m/>
    <m/>
    <m/>
    <m/>
    <m/>
    <m/>
    <m/>
    <m/>
    <n v="2130.0470013962349"/>
    <m/>
    <m/>
    <m/>
    <m/>
    <m/>
  </r>
  <r>
    <x v="19"/>
    <x v="6"/>
    <m/>
    <m/>
    <m/>
    <m/>
    <m/>
    <m/>
    <m/>
    <m/>
    <m/>
    <m/>
    <m/>
    <m/>
    <m/>
    <m/>
    <m/>
    <m/>
    <m/>
    <n v="1501.7188096596235"/>
    <m/>
    <m/>
    <m/>
    <m/>
    <m/>
  </r>
  <r>
    <x v="19"/>
    <x v="7"/>
    <m/>
    <m/>
    <m/>
    <m/>
    <m/>
    <m/>
    <m/>
    <m/>
    <m/>
    <m/>
    <m/>
    <m/>
    <m/>
    <m/>
    <m/>
    <m/>
    <m/>
    <n v="11234.082838695906"/>
    <m/>
    <m/>
    <m/>
    <m/>
    <m/>
  </r>
  <r>
    <x v="20"/>
    <x v="0"/>
    <m/>
    <m/>
    <m/>
    <m/>
    <m/>
    <m/>
    <m/>
    <m/>
    <m/>
    <m/>
    <m/>
    <m/>
    <m/>
    <m/>
    <m/>
    <m/>
    <m/>
    <n v="2150.494885644946"/>
    <m/>
    <m/>
    <m/>
    <m/>
    <m/>
  </r>
  <r>
    <x v="20"/>
    <x v="1"/>
    <m/>
    <m/>
    <m/>
    <m/>
    <m/>
    <m/>
    <m/>
    <m/>
    <m/>
    <m/>
    <m/>
    <m/>
    <m/>
    <m/>
    <m/>
    <m/>
    <m/>
    <n v="4004.3615523116123"/>
    <m/>
    <m/>
    <m/>
    <m/>
    <m/>
  </r>
  <r>
    <x v="20"/>
    <x v="2"/>
    <m/>
    <m/>
    <m/>
    <m/>
    <m/>
    <m/>
    <m/>
    <m/>
    <m/>
    <m/>
    <m/>
    <m/>
    <m/>
    <m/>
    <m/>
    <m/>
    <m/>
    <n v="4965.7913577740173"/>
    <m/>
    <m/>
    <m/>
    <m/>
    <m/>
  </r>
  <r>
    <x v="20"/>
    <x v="3"/>
    <m/>
    <m/>
    <m/>
    <m/>
    <m/>
    <m/>
    <m/>
    <m/>
    <m/>
    <m/>
    <m/>
    <m/>
    <m/>
    <m/>
    <m/>
    <m/>
    <m/>
    <n v="5982.052619353949"/>
    <m/>
    <m/>
    <m/>
    <m/>
    <m/>
  </r>
  <r>
    <x v="20"/>
    <x v="4"/>
    <m/>
    <m/>
    <m/>
    <m/>
    <m/>
    <m/>
    <m/>
    <m/>
    <m/>
    <m/>
    <m/>
    <m/>
    <m/>
    <m/>
    <m/>
    <m/>
    <m/>
    <n v="5301.2171279005379"/>
    <m/>
    <m/>
    <m/>
    <m/>
    <m/>
  </r>
  <r>
    <x v="20"/>
    <x v="5"/>
    <m/>
    <m/>
    <m/>
    <m/>
    <m/>
    <m/>
    <m/>
    <m/>
    <m/>
    <m/>
    <m/>
    <m/>
    <m/>
    <m/>
    <m/>
    <m/>
    <m/>
    <n v="5651.6897751770903"/>
    <m/>
    <m/>
    <m/>
    <m/>
    <m/>
  </r>
  <r>
    <x v="20"/>
    <x v="6"/>
    <m/>
    <m/>
    <m/>
    <m/>
    <m/>
    <m/>
    <m/>
    <m/>
    <m/>
    <m/>
    <m/>
    <m/>
    <m/>
    <m/>
    <m/>
    <m/>
    <m/>
    <n v="4369.2083632251451"/>
    <m/>
    <m/>
    <m/>
    <m/>
    <m/>
  </r>
  <r>
    <x v="20"/>
    <x v="7"/>
    <m/>
    <m/>
    <m/>
    <m/>
    <m/>
    <m/>
    <m/>
    <m/>
    <m/>
    <m/>
    <m/>
    <m/>
    <m/>
    <m/>
    <m/>
    <m/>
    <m/>
    <n v="32424.815681387299"/>
    <m/>
    <m/>
    <m/>
    <m/>
    <m/>
  </r>
  <r>
    <x v="21"/>
    <x v="0"/>
    <m/>
    <m/>
    <m/>
    <m/>
    <m/>
    <m/>
    <m/>
    <m/>
    <m/>
    <m/>
    <m/>
    <m/>
    <m/>
    <m/>
    <m/>
    <m/>
    <m/>
    <n v="357.10713302746962"/>
    <m/>
    <m/>
    <m/>
    <m/>
    <m/>
  </r>
  <r>
    <x v="21"/>
    <x v="1"/>
    <m/>
    <m/>
    <m/>
    <m/>
    <m/>
    <m/>
    <m/>
    <m/>
    <m/>
    <m/>
    <m/>
    <m/>
    <m/>
    <m/>
    <m/>
    <m/>
    <m/>
    <n v="555.13379969413631"/>
    <m/>
    <m/>
    <m/>
    <m/>
    <m/>
  </r>
  <r>
    <x v="21"/>
    <x v="2"/>
    <m/>
    <m/>
    <m/>
    <m/>
    <m/>
    <m/>
    <m/>
    <m/>
    <m/>
    <m/>
    <m/>
    <m/>
    <m/>
    <m/>
    <m/>
    <m/>
    <m/>
    <n v="805.02580757830265"/>
    <m/>
    <m/>
    <m/>
    <m/>
    <m/>
  </r>
  <r>
    <x v="21"/>
    <x v="3"/>
    <m/>
    <m/>
    <m/>
    <m/>
    <m/>
    <m/>
    <m/>
    <m/>
    <m/>
    <m/>
    <m/>
    <m/>
    <m/>
    <m/>
    <m/>
    <m/>
    <m/>
    <n v="1006.1849073159301"/>
    <m/>
    <m/>
    <m/>
    <m/>
    <m/>
  </r>
  <r>
    <x v="21"/>
    <x v="4"/>
    <m/>
    <m/>
    <m/>
    <m/>
    <m/>
    <m/>
    <m/>
    <m/>
    <m/>
    <m/>
    <m/>
    <m/>
    <m/>
    <m/>
    <m/>
    <m/>
    <m/>
    <n v="876.5971203097838"/>
    <m/>
    <m/>
    <m/>
    <m/>
    <m/>
  </r>
  <r>
    <x v="21"/>
    <x v="5"/>
    <m/>
    <m/>
    <m/>
    <m/>
    <m/>
    <m/>
    <m/>
    <m/>
    <m/>
    <m/>
    <m/>
    <m/>
    <m/>
    <m/>
    <m/>
    <m/>
    <m/>
    <n v="949.5508553795363"/>
    <m/>
    <m/>
    <m/>
    <m/>
    <m/>
  </r>
  <r>
    <x v="21"/>
    <x v="6"/>
    <m/>
    <m/>
    <m/>
    <m/>
    <m/>
    <m/>
    <m/>
    <m/>
    <m/>
    <m/>
    <m/>
    <m/>
    <m/>
    <m/>
    <m/>
    <m/>
    <m/>
    <n v="705.80852287753817"/>
    <m/>
    <m/>
    <m/>
    <m/>
    <m/>
  </r>
  <r>
    <x v="21"/>
    <x v="7"/>
    <m/>
    <m/>
    <m/>
    <m/>
    <m/>
    <m/>
    <m/>
    <m/>
    <m/>
    <m/>
    <m/>
    <m/>
    <m/>
    <m/>
    <m/>
    <m/>
    <m/>
    <n v="5255.4081461826972"/>
    <m/>
    <m/>
    <m/>
    <m/>
    <m/>
  </r>
  <r>
    <x v="22"/>
    <x v="0"/>
    <m/>
    <m/>
    <m/>
    <m/>
    <m/>
    <m/>
    <m/>
    <m/>
    <m/>
    <m/>
    <m/>
    <m/>
    <m/>
    <m/>
    <m/>
    <m/>
    <m/>
    <n v="815.64042218600025"/>
    <m/>
    <m/>
    <m/>
    <m/>
    <m/>
  </r>
  <r>
    <x v="22"/>
    <x v="1"/>
    <m/>
    <m/>
    <m/>
    <m/>
    <m/>
    <m/>
    <m/>
    <m/>
    <m/>
    <m/>
    <m/>
    <m/>
    <m/>
    <m/>
    <m/>
    <m/>
    <m/>
    <n v="1789.9737555193335"/>
    <m/>
    <m/>
    <m/>
    <m/>
    <m/>
  </r>
  <r>
    <x v="22"/>
    <x v="2"/>
    <m/>
    <m/>
    <m/>
    <m/>
    <m/>
    <m/>
    <m/>
    <m/>
    <m/>
    <m/>
    <m/>
    <m/>
    <m/>
    <m/>
    <m/>
    <m/>
    <m/>
    <n v="1931.7883819568642"/>
    <m/>
    <m/>
    <m/>
    <m/>
    <m/>
  </r>
  <r>
    <x v="22"/>
    <x v="3"/>
    <m/>
    <m/>
    <m/>
    <m/>
    <m/>
    <m/>
    <m/>
    <m/>
    <m/>
    <m/>
    <m/>
    <m/>
    <m/>
    <m/>
    <m/>
    <m/>
    <m/>
    <n v="2237.2256769814385"/>
    <m/>
    <m/>
    <m/>
    <m/>
    <m/>
  </r>
  <r>
    <x v="22"/>
    <x v="4"/>
    <m/>
    <m/>
    <m/>
    <m/>
    <m/>
    <m/>
    <m/>
    <m/>
    <m/>
    <m/>
    <m/>
    <m/>
    <m/>
    <m/>
    <m/>
    <m/>
    <m/>
    <n v="2019.816385393257"/>
    <m/>
    <m/>
    <m/>
    <m/>
    <m/>
  </r>
  <r>
    <x v="22"/>
    <x v="5"/>
    <m/>
    <m/>
    <m/>
    <m/>
    <m/>
    <m/>
    <m/>
    <m/>
    <m/>
    <m/>
    <m/>
    <m/>
    <m/>
    <m/>
    <m/>
    <m/>
    <m/>
    <n v="2116.3078151915101"/>
    <m/>
    <m/>
    <m/>
    <m/>
    <m/>
  </r>
  <r>
    <x v="22"/>
    <x v="6"/>
    <m/>
    <m/>
    <m/>
    <m/>
    <m/>
    <m/>
    <m/>
    <m/>
    <m/>
    <m/>
    <m/>
    <m/>
    <m/>
    <m/>
    <m/>
    <m/>
    <m/>
    <n v="1705.886189227564"/>
    <m/>
    <m/>
    <m/>
    <m/>
    <m/>
  </r>
  <r>
    <x v="22"/>
    <x v="7"/>
    <m/>
    <m/>
    <m/>
    <m/>
    <m/>
    <m/>
    <m/>
    <m/>
    <m/>
    <m/>
    <m/>
    <m/>
    <m/>
    <m/>
    <m/>
    <m/>
    <m/>
    <n v="12616.638626455968"/>
    <m/>
    <m/>
    <m/>
    <m/>
    <m/>
  </r>
  <r>
    <x v="23"/>
    <x v="0"/>
    <m/>
    <m/>
    <m/>
    <m/>
    <m/>
    <m/>
    <m/>
    <m/>
    <m/>
    <m/>
    <m/>
    <m/>
    <m/>
    <m/>
    <m/>
    <m/>
    <m/>
    <n v="271.51905414113389"/>
    <m/>
    <m/>
    <m/>
    <m/>
    <m/>
  </r>
  <r>
    <x v="23"/>
    <x v="1"/>
    <m/>
    <m/>
    <m/>
    <m/>
    <m/>
    <m/>
    <m/>
    <m/>
    <m/>
    <m/>
    <m/>
    <m/>
    <m/>
    <m/>
    <m/>
    <m/>
    <m/>
    <n v="519.0523874744672"/>
    <m/>
    <m/>
    <m/>
    <m/>
    <m/>
  </r>
  <r>
    <x v="23"/>
    <x v="2"/>
    <m/>
    <m/>
    <m/>
    <m/>
    <m/>
    <m/>
    <m/>
    <m/>
    <m/>
    <m/>
    <m/>
    <m/>
    <m/>
    <m/>
    <m/>
    <m/>
    <m/>
    <n v="629.37656738995065"/>
    <m/>
    <m/>
    <m/>
    <m/>
    <m/>
  </r>
  <r>
    <x v="23"/>
    <x v="3"/>
    <m/>
    <m/>
    <m/>
    <m/>
    <m/>
    <m/>
    <m/>
    <m/>
    <m/>
    <m/>
    <m/>
    <m/>
    <m/>
    <m/>
    <m/>
    <m/>
    <m/>
    <n v="753.715674595981"/>
    <m/>
    <m/>
    <m/>
    <m/>
    <m/>
  </r>
  <r>
    <x v="23"/>
    <x v="4"/>
    <m/>
    <m/>
    <m/>
    <m/>
    <m/>
    <m/>
    <m/>
    <m/>
    <m/>
    <m/>
    <m/>
    <m/>
    <m/>
    <m/>
    <m/>
    <m/>
    <m/>
    <n v="669.78096529961635"/>
    <m/>
    <m/>
    <m/>
    <m/>
    <m/>
  </r>
  <r>
    <x v="23"/>
    <x v="5"/>
    <m/>
    <m/>
    <m/>
    <m/>
    <m/>
    <m/>
    <m/>
    <m/>
    <m/>
    <m/>
    <m/>
    <m/>
    <m/>
    <m/>
    <m/>
    <m/>
    <m/>
    <n v="712.22203479178779"/>
    <m/>
    <m/>
    <m/>
    <m/>
    <m/>
  </r>
  <r>
    <x v="23"/>
    <x v="6"/>
    <m/>
    <m/>
    <m/>
    <m/>
    <m/>
    <m/>
    <m/>
    <m/>
    <m/>
    <m/>
    <m/>
    <m/>
    <m/>
    <m/>
    <m/>
    <m/>
    <m/>
    <n v="554.0710451221471"/>
    <m/>
    <m/>
    <m/>
    <m/>
    <m/>
  </r>
  <r>
    <x v="23"/>
    <x v="7"/>
    <m/>
    <m/>
    <m/>
    <m/>
    <m/>
    <m/>
    <m/>
    <m/>
    <m/>
    <m/>
    <m/>
    <m/>
    <m/>
    <m/>
    <m/>
    <m/>
    <m/>
    <n v="4109.7377288150838"/>
    <m/>
    <m/>
    <m/>
    <m/>
    <m/>
  </r>
  <r>
    <x v="24"/>
    <x v="0"/>
    <m/>
    <m/>
    <m/>
    <m/>
    <m/>
    <m/>
    <m/>
    <m/>
    <m/>
    <m/>
    <m/>
    <m/>
    <m/>
    <m/>
    <m/>
    <m/>
    <m/>
    <n v="118.41675655745881"/>
    <m/>
    <m/>
    <m/>
    <m/>
    <m/>
  </r>
  <r>
    <x v="24"/>
    <x v="1"/>
    <m/>
    <m/>
    <m/>
    <m/>
    <m/>
    <m/>
    <m/>
    <m/>
    <m/>
    <m/>
    <m/>
    <m/>
    <m/>
    <m/>
    <m/>
    <m/>
    <m/>
    <n v="176.35008989079213"/>
    <m/>
    <m/>
    <m/>
    <m/>
    <m/>
  </r>
  <r>
    <x v="24"/>
    <x v="2"/>
    <m/>
    <m/>
    <m/>
    <m/>
    <m/>
    <m/>
    <m/>
    <m/>
    <m/>
    <m/>
    <m/>
    <m/>
    <m/>
    <m/>
    <m/>
    <m/>
    <m/>
    <n v="265.56776231819526"/>
    <m/>
    <m/>
    <m/>
    <m/>
    <m/>
  </r>
  <r>
    <x v="24"/>
    <x v="3"/>
    <m/>
    <m/>
    <m/>
    <m/>
    <m/>
    <m/>
    <m/>
    <m/>
    <m/>
    <m/>
    <m/>
    <m/>
    <m/>
    <m/>
    <m/>
    <m/>
    <m/>
    <n v="334.55337789377279"/>
    <m/>
    <m/>
    <m/>
    <m/>
    <m/>
  </r>
  <r>
    <x v="24"/>
    <x v="4"/>
    <m/>
    <m/>
    <m/>
    <m/>
    <m/>
    <m/>
    <m/>
    <m/>
    <m/>
    <m/>
    <m/>
    <m/>
    <m/>
    <m/>
    <m/>
    <m/>
    <m/>
    <n v="290.41825857044148"/>
    <m/>
    <m/>
    <m/>
    <m/>
    <m/>
  </r>
  <r>
    <x v="24"/>
    <x v="5"/>
    <m/>
    <m/>
    <m/>
    <m/>
    <m/>
    <m/>
    <m/>
    <m/>
    <m/>
    <m/>
    <m/>
    <m/>
    <m/>
    <m/>
    <m/>
    <m/>
    <m/>
    <n v="315.64857528957663"/>
    <m/>
    <m/>
    <m/>
    <m/>
    <m/>
  </r>
  <r>
    <x v="24"/>
    <x v="6"/>
    <m/>
    <m/>
    <m/>
    <m/>
    <m/>
    <m/>
    <m/>
    <m/>
    <m/>
    <m/>
    <m/>
    <m/>
    <m/>
    <m/>
    <m/>
    <m/>
    <m/>
    <n v="232.65675252977104"/>
    <m/>
    <m/>
    <m/>
    <m/>
    <m/>
  </r>
  <r>
    <x v="24"/>
    <x v="7"/>
    <m/>
    <m/>
    <m/>
    <m/>
    <m/>
    <m/>
    <m/>
    <m/>
    <m/>
    <m/>
    <m/>
    <m/>
    <m/>
    <m/>
    <m/>
    <m/>
    <m/>
    <n v="1733.611573050008"/>
    <m/>
    <m/>
    <m/>
    <m/>
    <m/>
  </r>
  <r>
    <x v="25"/>
    <x v="0"/>
    <m/>
    <m/>
    <m/>
    <m/>
    <m/>
    <m/>
    <m/>
    <m/>
    <m/>
    <m/>
    <m/>
    <m/>
    <m/>
    <m/>
    <m/>
    <m/>
    <m/>
    <n v="1896.0167290857139"/>
    <m/>
    <m/>
    <m/>
    <m/>
    <m/>
  </r>
  <r>
    <x v="25"/>
    <x v="1"/>
    <m/>
    <m/>
    <m/>
    <m/>
    <m/>
    <m/>
    <m/>
    <m/>
    <m/>
    <m/>
    <m/>
    <m/>
    <m/>
    <m/>
    <m/>
    <m/>
    <m/>
    <n v="3004.1233957523805"/>
    <m/>
    <m/>
    <m/>
    <m/>
    <m/>
  </r>
  <r>
    <x v="25"/>
    <x v="2"/>
    <m/>
    <m/>
    <m/>
    <m/>
    <m/>
    <m/>
    <m/>
    <m/>
    <m/>
    <m/>
    <m/>
    <m/>
    <m/>
    <m/>
    <m/>
    <m/>
    <m/>
    <n v="4284.2987424095581"/>
    <m/>
    <m/>
    <m/>
    <m/>
    <m/>
  </r>
  <r>
    <x v="25"/>
    <x v="3"/>
    <m/>
    <m/>
    <m/>
    <m/>
    <m/>
    <m/>
    <m/>
    <m/>
    <m/>
    <m/>
    <m/>
    <m/>
    <m/>
    <m/>
    <m/>
    <m/>
    <m/>
    <n v="5335.5979939767576"/>
    <m/>
    <m/>
    <m/>
    <m/>
    <m/>
  </r>
  <r>
    <x v="25"/>
    <x v="4"/>
    <m/>
    <m/>
    <m/>
    <m/>
    <m/>
    <m/>
    <m/>
    <m/>
    <m/>
    <m/>
    <m/>
    <m/>
    <m/>
    <m/>
    <m/>
    <m/>
    <m/>
    <n v="4656.1026566397868"/>
    <m/>
    <m/>
    <m/>
    <m/>
    <m/>
  </r>
  <r>
    <x v="25"/>
    <x v="5"/>
    <m/>
    <m/>
    <m/>
    <m/>
    <m/>
    <m/>
    <m/>
    <m/>
    <m/>
    <m/>
    <m/>
    <m/>
    <m/>
    <m/>
    <m/>
    <m/>
    <m/>
    <n v="5035.8227527873769"/>
    <m/>
    <m/>
    <m/>
    <m/>
    <m/>
  </r>
  <r>
    <x v="25"/>
    <x v="6"/>
    <m/>
    <m/>
    <m/>
    <m/>
    <m/>
    <m/>
    <m/>
    <m/>
    <m/>
    <m/>
    <m/>
    <m/>
    <m/>
    <m/>
    <m/>
    <m/>
    <m/>
    <n v="3757.5940503824645"/>
    <m/>
    <m/>
    <m/>
    <m/>
    <m/>
  </r>
  <r>
    <x v="25"/>
    <x v="7"/>
    <m/>
    <m/>
    <m/>
    <m/>
    <m/>
    <m/>
    <m/>
    <m/>
    <m/>
    <m/>
    <m/>
    <m/>
    <m/>
    <m/>
    <m/>
    <m/>
    <m/>
    <n v="27969.556321034037"/>
    <m/>
    <m/>
    <m/>
    <m/>
    <m/>
  </r>
  <r>
    <x v="26"/>
    <x v="0"/>
    <m/>
    <m/>
    <m/>
    <m/>
    <m/>
    <m/>
    <m/>
    <m/>
    <m/>
    <m/>
    <m/>
    <m/>
    <m/>
    <m/>
    <m/>
    <m/>
    <m/>
    <n v="267.10809853881295"/>
    <m/>
    <m/>
    <m/>
    <m/>
    <m/>
  </r>
  <r>
    <x v="26"/>
    <x v="1"/>
    <m/>
    <m/>
    <m/>
    <m/>
    <m/>
    <m/>
    <m/>
    <m/>
    <m/>
    <m/>
    <m/>
    <m/>
    <m/>
    <m/>
    <m/>
    <m/>
    <m/>
    <n v="332.41476520547963"/>
    <m/>
    <m/>
    <m/>
    <m/>
    <m/>
  </r>
  <r>
    <x v="26"/>
    <x v="2"/>
    <m/>
    <m/>
    <m/>
    <m/>
    <m/>
    <m/>
    <m/>
    <m/>
    <m/>
    <m/>
    <m/>
    <m/>
    <m/>
    <m/>
    <m/>
    <m/>
    <m/>
    <n v="587.37360292817607"/>
    <m/>
    <m/>
    <m/>
    <m/>
    <m/>
  </r>
  <r>
    <x v="26"/>
    <x v="3"/>
    <m/>
    <m/>
    <m/>
    <m/>
    <m/>
    <m/>
    <m/>
    <m/>
    <m/>
    <m/>
    <m/>
    <m/>
    <m/>
    <m/>
    <m/>
    <m/>
    <m/>
    <n v="762.26805145549122"/>
    <m/>
    <m/>
    <m/>
    <m/>
    <m/>
  </r>
  <r>
    <x v="26"/>
    <x v="4"/>
    <m/>
    <m/>
    <m/>
    <m/>
    <m/>
    <m/>
    <m/>
    <m/>
    <m/>
    <m/>
    <m/>
    <m/>
    <m/>
    <m/>
    <m/>
    <m/>
    <m/>
    <n v="652.87508815379601"/>
    <m/>
    <m/>
    <m/>
    <m/>
    <m/>
  </r>
  <r>
    <x v="26"/>
    <x v="5"/>
    <m/>
    <m/>
    <m/>
    <m/>
    <m/>
    <m/>
    <m/>
    <m/>
    <m/>
    <m/>
    <m/>
    <m/>
    <m/>
    <m/>
    <m/>
    <m/>
    <m/>
    <n v="718.56888963905044"/>
    <m/>
    <m/>
    <m/>
    <m/>
    <m/>
  </r>
  <r>
    <x v="26"/>
    <x v="6"/>
    <m/>
    <m/>
    <m/>
    <m/>
    <m/>
    <m/>
    <m/>
    <m/>
    <m/>
    <m/>
    <m/>
    <m/>
    <m/>
    <m/>
    <m/>
    <m/>
    <m/>
    <n v="513.04832232078797"/>
    <m/>
    <m/>
    <m/>
    <m/>
    <m/>
  </r>
  <r>
    <x v="26"/>
    <x v="7"/>
    <m/>
    <m/>
    <m/>
    <m/>
    <m/>
    <m/>
    <m/>
    <m/>
    <m/>
    <m/>
    <m/>
    <m/>
    <m/>
    <m/>
    <m/>
    <m/>
    <m/>
    <n v="3833.6568182415945"/>
    <m/>
    <m/>
    <m/>
    <m/>
    <m/>
  </r>
  <r>
    <x v="27"/>
    <x v="0"/>
    <m/>
    <m/>
    <m/>
    <m/>
    <m/>
    <m/>
    <m/>
    <m/>
    <m/>
    <m/>
    <m/>
    <m/>
    <m/>
    <m/>
    <m/>
    <m/>
    <m/>
    <n v="21843.234494547825"/>
    <m/>
    <m/>
    <m/>
    <m/>
    <m/>
  </r>
  <r>
    <x v="27"/>
    <x v="1"/>
    <m/>
    <m/>
    <m/>
    <m/>
    <m/>
    <m/>
    <m/>
    <m/>
    <m/>
    <m/>
    <m/>
    <m/>
    <m/>
    <m/>
    <m/>
    <m/>
    <m/>
    <n v="32412.381161214493"/>
    <m/>
    <m/>
    <m/>
    <m/>
    <m/>
  </r>
  <r>
    <x v="27"/>
    <x v="2"/>
    <m/>
    <m/>
    <m/>
    <m/>
    <m/>
    <m/>
    <m/>
    <m/>
    <m/>
    <m/>
    <m/>
    <m/>
    <m/>
    <m/>
    <m/>
    <m/>
    <m/>
    <n v="48965.894873855577"/>
    <m/>
    <m/>
    <m/>
    <m/>
    <m/>
  </r>
  <r>
    <x v="27"/>
    <x v="3"/>
    <m/>
    <m/>
    <m/>
    <m/>
    <m/>
    <m/>
    <m/>
    <m/>
    <m/>
    <m/>
    <m/>
    <m/>
    <m/>
    <m/>
    <m/>
    <m/>
    <m/>
    <n v="61725.627084913998"/>
    <m/>
    <m/>
    <m/>
    <m/>
    <m/>
  </r>
  <r>
    <x v="27"/>
    <x v="4"/>
    <m/>
    <m/>
    <m/>
    <m/>
    <m/>
    <m/>
    <m/>
    <m/>
    <m/>
    <m/>
    <m/>
    <m/>
    <m/>
    <m/>
    <m/>
    <m/>
    <m/>
    <n v="53566.782183287345"/>
    <m/>
    <m/>
    <m/>
    <m/>
    <m/>
  </r>
  <r>
    <x v="27"/>
    <x v="5"/>
    <m/>
    <m/>
    <m/>
    <m/>
    <m/>
    <m/>
    <m/>
    <m/>
    <m/>
    <m/>
    <m/>
    <m/>
    <m/>
    <m/>
    <m/>
    <m/>
    <m/>
    <n v="58236.53945595205"/>
    <m/>
    <m/>
    <m/>
    <m/>
    <m/>
  </r>
  <r>
    <x v="27"/>
    <x v="6"/>
    <m/>
    <m/>
    <m/>
    <m/>
    <m/>
    <m/>
    <m/>
    <m/>
    <m/>
    <m/>
    <m/>
    <m/>
    <m/>
    <m/>
    <m/>
    <m/>
    <m/>
    <n v="42894.947888452938"/>
    <m/>
    <m/>
    <m/>
    <m/>
    <m/>
  </r>
  <r>
    <x v="27"/>
    <x v="7"/>
    <m/>
    <m/>
    <m/>
    <m/>
    <m/>
    <m/>
    <m/>
    <m/>
    <m/>
    <m/>
    <m/>
    <m/>
    <m/>
    <m/>
    <m/>
    <m/>
    <m/>
    <n v="319645.40714222426"/>
    <m/>
    <m/>
    <m/>
    <m/>
    <m/>
  </r>
  <r>
    <x v="0"/>
    <x v="1"/>
    <m/>
    <m/>
    <m/>
    <m/>
    <m/>
    <m/>
    <m/>
    <m/>
    <m/>
    <m/>
    <m/>
    <m/>
    <m/>
    <m/>
    <m/>
    <m/>
    <m/>
    <m/>
    <n v="0"/>
    <m/>
    <m/>
    <m/>
    <m/>
  </r>
  <r>
    <x v="0"/>
    <x v="2"/>
    <m/>
    <m/>
    <m/>
    <m/>
    <m/>
    <m/>
    <m/>
    <m/>
    <m/>
    <m/>
    <m/>
    <m/>
    <m/>
    <m/>
    <m/>
    <m/>
    <m/>
    <m/>
    <n v="320.52999999999997"/>
    <m/>
    <m/>
    <m/>
    <m/>
  </r>
  <r>
    <x v="0"/>
    <x v="3"/>
    <m/>
    <m/>
    <m/>
    <m/>
    <m/>
    <m/>
    <m/>
    <m/>
    <m/>
    <m/>
    <m/>
    <m/>
    <m/>
    <m/>
    <m/>
    <m/>
    <m/>
    <m/>
    <n v="346.8717381818181"/>
    <m/>
    <m/>
    <m/>
    <m/>
  </r>
  <r>
    <x v="0"/>
    <x v="4"/>
    <m/>
    <m/>
    <m/>
    <m/>
    <m/>
    <m/>
    <m/>
    <m/>
    <m/>
    <m/>
    <m/>
    <m/>
    <m/>
    <m/>
    <m/>
    <m/>
    <m/>
    <m/>
    <n v="428.92741818181815"/>
    <m/>
    <m/>
    <m/>
    <m/>
  </r>
  <r>
    <x v="0"/>
    <x v="5"/>
    <m/>
    <m/>
    <m/>
    <m/>
    <m/>
    <m/>
    <m/>
    <m/>
    <m/>
    <m/>
    <m/>
    <m/>
    <m/>
    <m/>
    <m/>
    <m/>
    <m/>
    <m/>
    <n v="482.07711999999998"/>
    <m/>
    <m/>
    <m/>
    <m/>
  </r>
  <r>
    <x v="0"/>
    <x v="6"/>
    <m/>
    <m/>
    <m/>
    <m/>
    <m/>
    <m/>
    <m/>
    <m/>
    <m/>
    <m/>
    <m/>
    <m/>
    <m/>
    <m/>
    <m/>
    <m/>
    <m/>
    <m/>
    <n v="386.73401454545444"/>
    <m/>
    <m/>
    <m/>
    <m/>
  </r>
  <r>
    <x v="0"/>
    <x v="7"/>
    <m/>
    <m/>
    <m/>
    <m/>
    <m/>
    <m/>
    <m/>
    <m/>
    <m/>
    <m/>
    <m/>
    <m/>
    <m/>
    <m/>
    <m/>
    <m/>
    <m/>
    <m/>
    <n v="1965.1402909090907"/>
    <m/>
    <m/>
    <m/>
    <m/>
  </r>
  <r>
    <x v="1"/>
    <x v="1"/>
    <m/>
    <m/>
    <m/>
    <m/>
    <m/>
    <m/>
    <m/>
    <m/>
    <m/>
    <m/>
    <m/>
    <m/>
    <m/>
    <m/>
    <m/>
    <m/>
    <m/>
    <m/>
    <n v="0"/>
    <m/>
    <m/>
    <m/>
    <m/>
  </r>
  <r>
    <x v="1"/>
    <x v="2"/>
    <m/>
    <m/>
    <m/>
    <m/>
    <m/>
    <m/>
    <m/>
    <m/>
    <m/>
    <m/>
    <m/>
    <m/>
    <m/>
    <m/>
    <m/>
    <m/>
    <m/>
    <m/>
    <n v="413.59500000000003"/>
    <m/>
    <m/>
    <m/>
    <m/>
  </r>
  <r>
    <x v="1"/>
    <x v="3"/>
    <m/>
    <m/>
    <m/>
    <m/>
    <m/>
    <m/>
    <m/>
    <m/>
    <m/>
    <m/>
    <m/>
    <m/>
    <m/>
    <m/>
    <m/>
    <m/>
    <m/>
    <m/>
    <n v="447.58498909090906"/>
    <m/>
    <m/>
    <m/>
    <m/>
  </r>
  <r>
    <x v="1"/>
    <x v="4"/>
    <m/>
    <m/>
    <m/>
    <m/>
    <m/>
    <m/>
    <m/>
    <m/>
    <m/>
    <m/>
    <m/>
    <m/>
    <m/>
    <m/>
    <m/>
    <m/>
    <m/>
    <m/>
    <n v="553.46530909090916"/>
    <m/>
    <m/>
    <m/>
    <m/>
  </r>
  <r>
    <x v="1"/>
    <x v="5"/>
    <m/>
    <m/>
    <m/>
    <m/>
    <m/>
    <m/>
    <m/>
    <m/>
    <m/>
    <m/>
    <m/>
    <m/>
    <m/>
    <m/>
    <m/>
    <m/>
    <m/>
    <m/>
    <n v="622.04687999999999"/>
    <m/>
    <m/>
    <m/>
    <m/>
  </r>
  <r>
    <x v="1"/>
    <x v="6"/>
    <m/>
    <m/>
    <m/>
    <m/>
    <m/>
    <m/>
    <m/>
    <m/>
    <m/>
    <m/>
    <m/>
    <m/>
    <m/>
    <m/>
    <m/>
    <m/>
    <m/>
    <m/>
    <n v="499.02116727272727"/>
    <m/>
    <m/>
    <m/>
    <m/>
  </r>
  <r>
    <x v="1"/>
    <x v="7"/>
    <m/>
    <m/>
    <m/>
    <m/>
    <m/>
    <m/>
    <m/>
    <m/>
    <m/>
    <m/>
    <m/>
    <m/>
    <m/>
    <m/>
    <m/>
    <m/>
    <m/>
    <m/>
    <n v="2535.7133454545456"/>
    <m/>
    <m/>
    <m/>
    <m/>
  </r>
  <r>
    <x v="2"/>
    <x v="1"/>
    <m/>
    <m/>
    <m/>
    <m/>
    <m/>
    <m/>
    <m/>
    <m/>
    <m/>
    <m/>
    <m/>
    <m/>
    <m/>
    <m/>
    <m/>
    <m/>
    <m/>
    <m/>
    <n v="0"/>
    <m/>
    <m/>
    <m/>
    <m/>
  </r>
  <r>
    <x v="2"/>
    <x v="2"/>
    <m/>
    <m/>
    <m/>
    <m/>
    <m/>
    <m/>
    <m/>
    <m/>
    <m/>
    <m/>
    <m/>
    <m/>
    <m/>
    <m/>
    <m/>
    <m/>
    <m/>
    <m/>
    <n v="225.57500000000002"/>
    <m/>
    <m/>
    <m/>
    <m/>
  </r>
  <r>
    <x v="2"/>
    <x v="3"/>
    <m/>
    <m/>
    <m/>
    <m/>
    <m/>
    <m/>
    <m/>
    <m/>
    <m/>
    <m/>
    <m/>
    <m/>
    <m/>
    <m/>
    <m/>
    <m/>
    <m/>
    <m/>
    <n v="244.11316363636365"/>
    <m/>
    <m/>
    <m/>
    <m/>
  </r>
  <r>
    <x v="2"/>
    <x v="4"/>
    <m/>
    <m/>
    <m/>
    <m/>
    <m/>
    <m/>
    <m/>
    <m/>
    <m/>
    <m/>
    <m/>
    <m/>
    <m/>
    <m/>
    <m/>
    <m/>
    <m/>
    <m/>
    <n v="301.86036363636367"/>
    <m/>
    <m/>
    <m/>
    <m/>
  </r>
  <r>
    <x v="2"/>
    <x v="5"/>
    <m/>
    <m/>
    <m/>
    <m/>
    <m/>
    <m/>
    <m/>
    <m/>
    <m/>
    <m/>
    <m/>
    <m/>
    <m/>
    <m/>
    <m/>
    <m/>
    <m/>
    <m/>
    <n v="339.26480000000004"/>
    <m/>
    <m/>
    <m/>
    <m/>
  </r>
  <r>
    <x v="2"/>
    <x v="6"/>
    <m/>
    <m/>
    <m/>
    <m/>
    <m/>
    <m/>
    <m/>
    <m/>
    <m/>
    <m/>
    <m/>
    <m/>
    <m/>
    <m/>
    <m/>
    <m/>
    <m/>
    <m/>
    <n v="272.1664909090909"/>
    <m/>
    <m/>
    <m/>
    <m/>
  </r>
  <r>
    <x v="2"/>
    <x v="7"/>
    <m/>
    <m/>
    <m/>
    <m/>
    <m/>
    <m/>
    <m/>
    <m/>
    <m/>
    <m/>
    <m/>
    <m/>
    <m/>
    <m/>
    <m/>
    <m/>
    <m/>
    <m/>
    <n v="1382.9798181818182"/>
    <m/>
    <m/>
    <m/>
    <m/>
  </r>
  <r>
    <x v="3"/>
    <x v="1"/>
    <m/>
    <m/>
    <m/>
    <m/>
    <m/>
    <m/>
    <m/>
    <m/>
    <m/>
    <m/>
    <m/>
    <m/>
    <m/>
    <m/>
    <m/>
    <m/>
    <m/>
    <m/>
    <n v="0"/>
    <m/>
    <m/>
    <m/>
    <m/>
  </r>
  <r>
    <x v="3"/>
    <x v="2"/>
    <m/>
    <m/>
    <m/>
    <m/>
    <m/>
    <m/>
    <m/>
    <m/>
    <m/>
    <m/>
    <m/>
    <m/>
    <m/>
    <m/>
    <m/>
    <m/>
    <m/>
    <m/>
    <n v="135.17000000000002"/>
    <m/>
    <m/>
    <m/>
    <m/>
  </r>
  <r>
    <x v="3"/>
    <x v="3"/>
    <m/>
    <m/>
    <m/>
    <m/>
    <m/>
    <m/>
    <m/>
    <m/>
    <m/>
    <m/>
    <m/>
    <m/>
    <m/>
    <m/>
    <m/>
    <m/>
    <m/>
    <m/>
    <n v="146.27851636363636"/>
    <m/>
    <m/>
    <m/>
    <m/>
  </r>
  <r>
    <x v="3"/>
    <x v="4"/>
    <m/>
    <m/>
    <m/>
    <m/>
    <m/>
    <m/>
    <m/>
    <m/>
    <m/>
    <m/>
    <m/>
    <m/>
    <m/>
    <m/>
    <m/>
    <m/>
    <m/>
    <m/>
    <n v="180.88203636363639"/>
    <m/>
    <m/>
    <m/>
    <m/>
  </r>
  <r>
    <x v="3"/>
    <x v="5"/>
    <m/>
    <m/>
    <m/>
    <m/>
    <m/>
    <m/>
    <m/>
    <m/>
    <m/>
    <m/>
    <m/>
    <m/>
    <m/>
    <m/>
    <m/>
    <m/>
    <m/>
    <m/>
    <n v="203.29568000000003"/>
    <m/>
    <m/>
    <m/>
    <m/>
  </r>
  <r>
    <x v="3"/>
    <x v="6"/>
    <m/>
    <m/>
    <m/>
    <m/>
    <m/>
    <m/>
    <m/>
    <m/>
    <m/>
    <m/>
    <m/>
    <m/>
    <m/>
    <m/>
    <m/>
    <m/>
    <m/>
    <m/>
    <n v="163.08874909090909"/>
    <m/>
    <m/>
    <m/>
    <m/>
  </r>
  <r>
    <x v="3"/>
    <x v="7"/>
    <m/>
    <m/>
    <m/>
    <m/>
    <m/>
    <m/>
    <m/>
    <m/>
    <m/>
    <m/>
    <m/>
    <m/>
    <m/>
    <m/>
    <m/>
    <m/>
    <m/>
    <m/>
    <n v="828.71498181818197"/>
    <m/>
    <m/>
    <m/>
    <m/>
  </r>
  <r>
    <x v="4"/>
    <x v="1"/>
    <m/>
    <m/>
    <m/>
    <m/>
    <m/>
    <m/>
    <m/>
    <m/>
    <m/>
    <m/>
    <m/>
    <m/>
    <m/>
    <m/>
    <m/>
    <m/>
    <m/>
    <m/>
    <n v="0"/>
    <m/>
    <m/>
    <m/>
    <m/>
  </r>
  <r>
    <x v="4"/>
    <x v="2"/>
    <m/>
    <m/>
    <m/>
    <m/>
    <m/>
    <m/>
    <m/>
    <m/>
    <m/>
    <m/>
    <m/>
    <m/>
    <m/>
    <m/>
    <m/>
    <m/>
    <m/>
    <m/>
    <n v="33.81"/>
    <m/>
    <m/>
    <m/>
    <m/>
  </r>
  <r>
    <x v="4"/>
    <x v="3"/>
    <m/>
    <m/>
    <m/>
    <m/>
    <m/>
    <m/>
    <m/>
    <m/>
    <m/>
    <m/>
    <m/>
    <m/>
    <m/>
    <m/>
    <m/>
    <m/>
    <m/>
    <m/>
    <n v="36.588567272727268"/>
    <m/>
    <m/>
    <m/>
    <m/>
  </r>
  <r>
    <x v="4"/>
    <x v="4"/>
    <m/>
    <m/>
    <m/>
    <m/>
    <m/>
    <m/>
    <m/>
    <m/>
    <m/>
    <m/>
    <m/>
    <m/>
    <m/>
    <m/>
    <m/>
    <m/>
    <m/>
    <m/>
    <n v="45.243927272727277"/>
    <m/>
    <m/>
    <m/>
    <m/>
  </r>
  <r>
    <x v="4"/>
    <x v="5"/>
    <m/>
    <m/>
    <m/>
    <m/>
    <m/>
    <m/>
    <m/>
    <m/>
    <m/>
    <m/>
    <m/>
    <m/>
    <m/>
    <m/>
    <m/>
    <m/>
    <m/>
    <m/>
    <n v="50.850239999999999"/>
    <m/>
    <m/>
    <m/>
    <m/>
  </r>
  <r>
    <x v="4"/>
    <x v="6"/>
    <m/>
    <m/>
    <m/>
    <m/>
    <m/>
    <m/>
    <m/>
    <m/>
    <m/>
    <m/>
    <m/>
    <m/>
    <m/>
    <m/>
    <m/>
    <m/>
    <m/>
    <m/>
    <n v="40.793301818181817"/>
    <m/>
    <m/>
    <m/>
    <m/>
  </r>
  <r>
    <x v="4"/>
    <x v="7"/>
    <m/>
    <m/>
    <m/>
    <m/>
    <m/>
    <m/>
    <m/>
    <m/>
    <m/>
    <m/>
    <m/>
    <m/>
    <m/>
    <m/>
    <m/>
    <m/>
    <m/>
    <m/>
    <n v="207.28603636363636"/>
    <m/>
    <m/>
    <m/>
    <m/>
  </r>
  <r>
    <x v="5"/>
    <x v="1"/>
    <m/>
    <m/>
    <m/>
    <m/>
    <m/>
    <m/>
    <m/>
    <m/>
    <m/>
    <m/>
    <m/>
    <m/>
    <m/>
    <m/>
    <m/>
    <m/>
    <m/>
    <m/>
    <n v="0"/>
    <m/>
    <m/>
    <m/>
    <m/>
  </r>
  <r>
    <x v="5"/>
    <x v="2"/>
    <m/>
    <m/>
    <m/>
    <m/>
    <m/>
    <m/>
    <m/>
    <m/>
    <m/>
    <m/>
    <m/>
    <m/>
    <m/>
    <m/>
    <m/>
    <m/>
    <m/>
    <m/>
    <n v="381.53499999999997"/>
    <m/>
    <m/>
    <m/>
    <m/>
  </r>
  <r>
    <x v="5"/>
    <x v="3"/>
    <m/>
    <m/>
    <m/>
    <m/>
    <m/>
    <m/>
    <m/>
    <m/>
    <m/>
    <m/>
    <m/>
    <m/>
    <m/>
    <m/>
    <m/>
    <m/>
    <m/>
    <m/>
    <n v="412.89023999999989"/>
    <m/>
    <m/>
    <m/>
    <m/>
  </r>
  <r>
    <x v="5"/>
    <x v="4"/>
    <m/>
    <m/>
    <m/>
    <m/>
    <m/>
    <m/>
    <m/>
    <m/>
    <m/>
    <m/>
    <m/>
    <m/>
    <m/>
    <m/>
    <m/>
    <m/>
    <m/>
    <m/>
    <n v="510.56320000000005"/>
    <m/>
    <m/>
    <m/>
    <m/>
  </r>
  <r>
    <x v="5"/>
    <x v="5"/>
    <m/>
    <m/>
    <m/>
    <m/>
    <m/>
    <m/>
    <m/>
    <m/>
    <m/>
    <m/>
    <m/>
    <m/>
    <m/>
    <m/>
    <m/>
    <m/>
    <m/>
    <m/>
    <n v="573.82863999999995"/>
    <m/>
    <m/>
    <m/>
    <m/>
  </r>
  <r>
    <x v="5"/>
    <x v="6"/>
    <m/>
    <m/>
    <m/>
    <m/>
    <m/>
    <m/>
    <m/>
    <m/>
    <m/>
    <m/>
    <m/>
    <m/>
    <m/>
    <m/>
    <m/>
    <m/>
    <m/>
    <m/>
    <n v="460.33931999999999"/>
    <m/>
    <m/>
    <m/>
    <m/>
  </r>
  <r>
    <x v="5"/>
    <x v="7"/>
    <m/>
    <m/>
    <m/>
    <m/>
    <m/>
    <m/>
    <m/>
    <m/>
    <m/>
    <m/>
    <m/>
    <m/>
    <m/>
    <m/>
    <m/>
    <m/>
    <m/>
    <m/>
    <n v="2339.1563999999998"/>
    <m/>
    <m/>
    <m/>
    <m/>
  </r>
  <r>
    <x v="6"/>
    <x v="1"/>
    <m/>
    <m/>
    <m/>
    <m/>
    <m/>
    <m/>
    <m/>
    <m/>
    <m/>
    <m/>
    <m/>
    <m/>
    <m/>
    <m/>
    <m/>
    <m/>
    <m/>
    <m/>
    <n v="0"/>
    <m/>
    <m/>
    <m/>
    <m/>
  </r>
  <r>
    <x v="6"/>
    <x v="2"/>
    <m/>
    <m/>
    <m/>
    <m/>
    <m/>
    <m/>
    <m/>
    <m/>
    <m/>
    <m/>
    <m/>
    <m/>
    <m/>
    <m/>
    <m/>
    <m/>
    <m/>
    <m/>
    <n v="208.63500000000002"/>
    <m/>
    <m/>
    <m/>
    <m/>
  </r>
  <r>
    <x v="6"/>
    <x v="3"/>
    <m/>
    <m/>
    <m/>
    <m/>
    <m/>
    <m/>
    <m/>
    <m/>
    <m/>
    <m/>
    <m/>
    <m/>
    <m/>
    <m/>
    <m/>
    <m/>
    <m/>
    <m/>
    <n v="225.78100363636364"/>
    <m/>
    <m/>
    <m/>
    <m/>
  </r>
  <r>
    <x v="6"/>
    <x v="4"/>
    <m/>
    <m/>
    <m/>
    <m/>
    <m/>
    <m/>
    <m/>
    <m/>
    <m/>
    <m/>
    <m/>
    <m/>
    <m/>
    <m/>
    <m/>
    <m/>
    <m/>
    <m/>
    <n v="279.1915636363637"/>
    <m/>
    <m/>
    <m/>
    <m/>
  </r>
  <r>
    <x v="6"/>
    <x v="5"/>
    <m/>
    <m/>
    <m/>
    <m/>
    <m/>
    <m/>
    <m/>
    <m/>
    <m/>
    <m/>
    <m/>
    <m/>
    <m/>
    <m/>
    <m/>
    <m/>
    <m/>
    <m/>
    <n v="313.78703999999999"/>
    <m/>
    <m/>
    <m/>
    <m/>
  </r>
  <r>
    <x v="6"/>
    <x v="6"/>
    <m/>
    <m/>
    <m/>
    <m/>
    <m/>
    <m/>
    <m/>
    <m/>
    <m/>
    <m/>
    <m/>
    <m/>
    <m/>
    <m/>
    <m/>
    <m/>
    <m/>
    <m/>
    <n v="251.72761090909088"/>
    <m/>
    <m/>
    <m/>
    <m/>
  </r>
  <r>
    <x v="6"/>
    <x v="7"/>
    <m/>
    <m/>
    <m/>
    <m/>
    <m/>
    <m/>
    <m/>
    <m/>
    <m/>
    <m/>
    <m/>
    <m/>
    <m/>
    <m/>
    <m/>
    <m/>
    <m/>
    <m/>
    <n v="1279.1222181818182"/>
    <m/>
    <m/>
    <m/>
    <m/>
  </r>
  <r>
    <x v="7"/>
    <x v="1"/>
    <m/>
    <m/>
    <m/>
    <m/>
    <m/>
    <m/>
    <m/>
    <m/>
    <m/>
    <m/>
    <m/>
    <m/>
    <m/>
    <m/>
    <m/>
    <m/>
    <m/>
    <m/>
    <n v="0"/>
    <m/>
    <m/>
    <m/>
    <m/>
  </r>
  <r>
    <x v="7"/>
    <x v="2"/>
    <m/>
    <m/>
    <m/>
    <m/>
    <m/>
    <m/>
    <m/>
    <m/>
    <m/>
    <m/>
    <m/>
    <m/>
    <m/>
    <m/>
    <m/>
    <m/>
    <m/>
    <m/>
    <n v="48.125"/>
    <m/>
    <m/>
    <m/>
    <m/>
  </r>
  <r>
    <x v="7"/>
    <x v="3"/>
    <m/>
    <m/>
    <m/>
    <m/>
    <m/>
    <m/>
    <m/>
    <m/>
    <m/>
    <m/>
    <m/>
    <m/>
    <m/>
    <m/>
    <m/>
    <m/>
    <m/>
    <m/>
    <n v="52.079999999999991"/>
    <m/>
    <m/>
    <m/>
    <m/>
  </r>
  <r>
    <x v="7"/>
    <x v="4"/>
    <m/>
    <m/>
    <m/>
    <m/>
    <m/>
    <m/>
    <m/>
    <m/>
    <m/>
    <m/>
    <m/>
    <m/>
    <m/>
    <m/>
    <m/>
    <m/>
    <m/>
    <m/>
    <n v="64.400000000000006"/>
    <m/>
    <m/>
    <m/>
    <m/>
  </r>
  <r>
    <x v="7"/>
    <x v="5"/>
    <m/>
    <m/>
    <m/>
    <m/>
    <m/>
    <m/>
    <m/>
    <m/>
    <m/>
    <m/>
    <m/>
    <m/>
    <m/>
    <m/>
    <m/>
    <m/>
    <m/>
    <m/>
    <n v="72.38"/>
    <m/>
    <m/>
    <m/>
    <m/>
  </r>
  <r>
    <x v="7"/>
    <x v="6"/>
    <m/>
    <m/>
    <m/>
    <m/>
    <m/>
    <m/>
    <m/>
    <m/>
    <m/>
    <m/>
    <m/>
    <m/>
    <m/>
    <m/>
    <m/>
    <m/>
    <m/>
    <m/>
    <n v="58.064999999999991"/>
    <m/>
    <m/>
    <m/>
    <m/>
  </r>
  <r>
    <x v="7"/>
    <x v="7"/>
    <m/>
    <m/>
    <m/>
    <m/>
    <m/>
    <m/>
    <m/>
    <m/>
    <m/>
    <m/>
    <m/>
    <m/>
    <m/>
    <m/>
    <m/>
    <m/>
    <m/>
    <m/>
    <n v="295.04999999999995"/>
    <m/>
    <m/>
    <m/>
    <m/>
  </r>
  <r>
    <x v="8"/>
    <x v="1"/>
    <m/>
    <m/>
    <m/>
    <m/>
    <m/>
    <m/>
    <m/>
    <m/>
    <m/>
    <m/>
    <m/>
    <m/>
    <m/>
    <m/>
    <m/>
    <m/>
    <m/>
    <m/>
    <n v="0"/>
    <m/>
    <m/>
    <m/>
    <m/>
  </r>
  <r>
    <x v="8"/>
    <x v="2"/>
    <m/>
    <m/>
    <m/>
    <m/>
    <m/>
    <m/>
    <m/>
    <m/>
    <m/>
    <m/>
    <m/>
    <m/>
    <m/>
    <m/>
    <m/>
    <m/>
    <m/>
    <m/>
    <n v="196.14000000000001"/>
    <m/>
    <m/>
    <m/>
    <m/>
  </r>
  <r>
    <x v="8"/>
    <x v="3"/>
    <m/>
    <m/>
    <m/>
    <m/>
    <m/>
    <m/>
    <m/>
    <m/>
    <m/>
    <m/>
    <m/>
    <m/>
    <m/>
    <m/>
    <m/>
    <m/>
    <m/>
    <m/>
    <n v="212.2591418181818"/>
    <m/>
    <m/>
    <m/>
    <m/>
  </r>
  <r>
    <x v="8"/>
    <x v="4"/>
    <m/>
    <m/>
    <m/>
    <m/>
    <m/>
    <m/>
    <m/>
    <m/>
    <m/>
    <m/>
    <m/>
    <m/>
    <m/>
    <m/>
    <m/>
    <m/>
    <m/>
    <m/>
    <n v="262.47098181818188"/>
    <m/>
    <m/>
    <m/>
    <m/>
  </r>
  <r>
    <x v="8"/>
    <x v="5"/>
    <m/>
    <m/>
    <m/>
    <m/>
    <m/>
    <m/>
    <m/>
    <m/>
    <m/>
    <m/>
    <m/>
    <m/>
    <m/>
    <m/>
    <m/>
    <m/>
    <m/>
    <m/>
    <n v="294.99456000000004"/>
    <m/>
    <m/>
    <m/>
    <m/>
  </r>
  <r>
    <x v="8"/>
    <x v="6"/>
    <m/>
    <m/>
    <m/>
    <m/>
    <m/>
    <m/>
    <m/>
    <m/>
    <m/>
    <m/>
    <m/>
    <m/>
    <m/>
    <m/>
    <m/>
    <m/>
    <m/>
    <m/>
    <n v="236.65182545454545"/>
    <m/>
    <m/>
    <m/>
    <m/>
  </r>
  <r>
    <x v="8"/>
    <x v="7"/>
    <m/>
    <m/>
    <m/>
    <m/>
    <m/>
    <m/>
    <m/>
    <m/>
    <m/>
    <m/>
    <m/>
    <m/>
    <m/>
    <m/>
    <m/>
    <m/>
    <m/>
    <m/>
    <n v="1202.516509090909"/>
    <m/>
    <m/>
    <m/>
    <m/>
  </r>
  <r>
    <x v="9"/>
    <x v="1"/>
    <m/>
    <m/>
    <m/>
    <m/>
    <m/>
    <m/>
    <m/>
    <m/>
    <m/>
    <m/>
    <m/>
    <m/>
    <m/>
    <m/>
    <m/>
    <m/>
    <m/>
    <m/>
    <n v="0"/>
    <m/>
    <m/>
    <m/>
    <m/>
  </r>
  <r>
    <x v="9"/>
    <x v="2"/>
    <m/>
    <m/>
    <m/>
    <m/>
    <m/>
    <m/>
    <m/>
    <m/>
    <m/>
    <m/>
    <m/>
    <m/>
    <m/>
    <m/>
    <m/>
    <m/>
    <m/>
    <m/>
    <n v="2396.3449999999998"/>
    <m/>
    <m/>
    <m/>
    <m/>
  </r>
  <r>
    <x v="9"/>
    <x v="3"/>
    <m/>
    <m/>
    <m/>
    <m/>
    <m/>
    <m/>
    <m/>
    <m/>
    <m/>
    <m/>
    <m/>
    <m/>
    <m/>
    <m/>
    <m/>
    <m/>
    <m/>
    <m/>
    <n v="2593.2809890909089"/>
    <m/>
    <m/>
    <m/>
    <m/>
  </r>
  <r>
    <x v="9"/>
    <x v="4"/>
    <m/>
    <m/>
    <m/>
    <m/>
    <m/>
    <m/>
    <m/>
    <m/>
    <m/>
    <m/>
    <m/>
    <m/>
    <m/>
    <m/>
    <m/>
    <m/>
    <m/>
    <m/>
    <n v="3206.7453090909094"/>
    <m/>
    <m/>
    <m/>
    <m/>
  </r>
  <r>
    <x v="9"/>
    <x v="5"/>
    <m/>
    <m/>
    <m/>
    <m/>
    <m/>
    <m/>
    <m/>
    <m/>
    <m/>
    <m/>
    <m/>
    <m/>
    <m/>
    <m/>
    <m/>
    <m/>
    <m/>
    <m/>
    <n v="3604.1028799999995"/>
    <m/>
    <m/>
    <m/>
    <m/>
  </r>
  <r>
    <x v="9"/>
    <x v="6"/>
    <m/>
    <m/>
    <m/>
    <m/>
    <m/>
    <m/>
    <m/>
    <m/>
    <m/>
    <m/>
    <m/>
    <m/>
    <m/>
    <m/>
    <m/>
    <m/>
    <m/>
    <m/>
    <n v="2891.2991672727267"/>
    <m/>
    <m/>
    <m/>
    <m/>
  </r>
  <r>
    <x v="9"/>
    <x v="7"/>
    <m/>
    <m/>
    <m/>
    <m/>
    <m/>
    <m/>
    <m/>
    <m/>
    <m/>
    <m/>
    <m/>
    <m/>
    <m/>
    <m/>
    <m/>
    <m/>
    <m/>
    <m/>
    <n v="14691.773345454541"/>
    <m/>
    <m/>
    <m/>
    <m/>
  </r>
  <r>
    <x v="10"/>
    <x v="1"/>
    <m/>
    <m/>
    <m/>
    <m/>
    <m/>
    <m/>
    <m/>
    <m/>
    <m/>
    <m/>
    <m/>
    <m/>
    <m/>
    <m/>
    <m/>
    <m/>
    <m/>
    <m/>
    <n v="0"/>
    <m/>
    <m/>
    <m/>
    <m/>
  </r>
  <r>
    <x v="10"/>
    <x v="2"/>
    <m/>
    <m/>
    <m/>
    <m/>
    <m/>
    <m/>
    <m/>
    <m/>
    <m/>
    <m/>
    <m/>
    <m/>
    <m/>
    <m/>
    <m/>
    <m/>
    <m/>
    <m/>
    <n v="2920.96"/>
    <m/>
    <m/>
    <m/>
    <m/>
  </r>
  <r>
    <x v="10"/>
    <x v="3"/>
    <m/>
    <m/>
    <m/>
    <m/>
    <m/>
    <m/>
    <m/>
    <m/>
    <m/>
    <m/>
    <m/>
    <m/>
    <m/>
    <m/>
    <m/>
    <m/>
    <m/>
    <m/>
    <n v="3161.0098036363634"/>
    <m/>
    <m/>
    <m/>
    <m/>
  </r>
  <r>
    <x v="10"/>
    <x v="4"/>
    <m/>
    <m/>
    <m/>
    <m/>
    <m/>
    <m/>
    <m/>
    <m/>
    <m/>
    <m/>
    <m/>
    <m/>
    <m/>
    <m/>
    <m/>
    <m/>
    <m/>
    <m/>
    <n v="3908.775563636364"/>
    <m/>
    <m/>
    <m/>
    <m/>
  </r>
  <r>
    <x v="10"/>
    <x v="5"/>
    <m/>
    <m/>
    <m/>
    <m/>
    <m/>
    <m/>
    <m/>
    <m/>
    <m/>
    <m/>
    <m/>
    <m/>
    <m/>
    <m/>
    <m/>
    <m/>
    <m/>
    <m/>
    <n v="4393.1238400000002"/>
    <m/>
    <m/>
    <m/>
    <m/>
  </r>
  <r>
    <x v="10"/>
    <x v="6"/>
    <m/>
    <m/>
    <m/>
    <m/>
    <m/>
    <m/>
    <m/>
    <m/>
    <m/>
    <m/>
    <m/>
    <m/>
    <m/>
    <m/>
    <m/>
    <m/>
    <m/>
    <m/>
    <n v="3524.2710109090908"/>
    <m/>
    <m/>
    <m/>
    <m/>
  </r>
  <r>
    <x v="10"/>
    <x v="7"/>
    <m/>
    <m/>
    <m/>
    <m/>
    <m/>
    <m/>
    <m/>
    <m/>
    <m/>
    <m/>
    <m/>
    <m/>
    <m/>
    <m/>
    <m/>
    <m/>
    <m/>
    <m/>
    <n v="17908.140218181819"/>
    <m/>
    <m/>
    <m/>
    <m/>
  </r>
  <r>
    <x v="11"/>
    <x v="1"/>
    <m/>
    <m/>
    <m/>
    <m/>
    <m/>
    <m/>
    <m/>
    <m/>
    <m/>
    <m/>
    <m/>
    <m/>
    <m/>
    <m/>
    <m/>
    <m/>
    <m/>
    <m/>
    <n v="0"/>
    <m/>
    <m/>
    <m/>
    <m/>
  </r>
  <r>
    <x v="11"/>
    <x v="2"/>
    <m/>
    <m/>
    <m/>
    <m/>
    <m/>
    <m/>
    <m/>
    <m/>
    <m/>
    <m/>
    <m/>
    <m/>
    <m/>
    <m/>
    <m/>
    <m/>
    <m/>
    <m/>
    <n v="364.03499999999997"/>
    <m/>
    <m/>
    <m/>
    <m/>
  </r>
  <r>
    <x v="11"/>
    <x v="3"/>
    <m/>
    <m/>
    <m/>
    <m/>
    <m/>
    <m/>
    <m/>
    <m/>
    <m/>
    <m/>
    <m/>
    <m/>
    <m/>
    <m/>
    <m/>
    <m/>
    <m/>
    <m/>
    <n v="393.95205818181813"/>
    <m/>
    <m/>
    <m/>
    <m/>
  </r>
  <r>
    <x v="11"/>
    <x v="4"/>
    <m/>
    <m/>
    <m/>
    <m/>
    <m/>
    <m/>
    <m/>
    <m/>
    <m/>
    <m/>
    <m/>
    <m/>
    <m/>
    <m/>
    <m/>
    <m/>
    <m/>
    <m/>
    <n v="487.14501818181816"/>
    <m/>
    <m/>
    <m/>
    <m/>
  </r>
  <r>
    <x v="11"/>
    <x v="5"/>
    <m/>
    <m/>
    <m/>
    <m/>
    <m/>
    <m/>
    <m/>
    <m/>
    <m/>
    <m/>
    <m/>
    <m/>
    <m/>
    <m/>
    <m/>
    <m/>
    <m/>
    <m/>
    <n v="547.5086399999999"/>
    <m/>
    <m/>
    <m/>
    <m/>
  </r>
  <r>
    <x v="11"/>
    <x v="6"/>
    <m/>
    <m/>
    <m/>
    <m/>
    <m/>
    <m/>
    <m/>
    <m/>
    <m/>
    <m/>
    <m/>
    <m/>
    <m/>
    <m/>
    <m/>
    <m/>
    <m/>
    <m/>
    <n v="439.22477454545447"/>
    <m/>
    <m/>
    <m/>
    <m/>
  </r>
  <r>
    <x v="11"/>
    <x v="7"/>
    <m/>
    <m/>
    <m/>
    <m/>
    <m/>
    <m/>
    <m/>
    <m/>
    <m/>
    <m/>
    <m/>
    <m/>
    <m/>
    <m/>
    <m/>
    <m/>
    <m/>
    <m/>
    <n v="2231.865490909091"/>
    <m/>
    <m/>
    <m/>
    <m/>
  </r>
  <r>
    <x v="12"/>
    <x v="1"/>
    <m/>
    <m/>
    <m/>
    <m/>
    <m/>
    <m/>
    <m/>
    <m/>
    <m/>
    <m/>
    <m/>
    <m/>
    <m/>
    <m/>
    <m/>
    <m/>
    <m/>
    <m/>
    <n v="0"/>
    <m/>
    <m/>
    <m/>
    <m/>
  </r>
  <r>
    <x v="12"/>
    <x v="2"/>
    <m/>
    <m/>
    <m/>
    <m/>
    <m/>
    <m/>
    <m/>
    <m/>
    <m/>
    <m/>
    <m/>
    <m/>
    <m/>
    <m/>
    <m/>
    <m/>
    <m/>
    <m/>
    <n v="335.47500000000002"/>
    <m/>
    <m/>
    <m/>
    <m/>
  </r>
  <r>
    <x v="12"/>
    <x v="3"/>
    <m/>
    <m/>
    <m/>
    <m/>
    <m/>
    <m/>
    <m/>
    <m/>
    <m/>
    <m/>
    <m/>
    <m/>
    <m/>
    <m/>
    <m/>
    <m/>
    <m/>
    <m/>
    <n v="363.04494545454543"/>
    <m/>
    <m/>
    <m/>
    <m/>
  </r>
  <r>
    <x v="12"/>
    <x v="4"/>
    <m/>
    <m/>
    <m/>
    <m/>
    <m/>
    <m/>
    <m/>
    <m/>
    <m/>
    <m/>
    <m/>
    <m/>
    <m/>
    <m/>
    <m/>
    <m/>
    <m/>
    <m/>
    <n v="448.92654545454553"/>
    <m/>
    <m/>
    <m/>
    <m/>
  </r>
  <r>
    <x v="12"/>
    <x v="5"/>
    <m/>
    <m/>
    <m/>
    <m/>
    <m/>
    <m/>
    <m/>
    <m/>
    <m/>
    <m/>
    <m/>
    <m/>
    <m/>
    <m/>
    <m/>
    <m/>
    <m/>
    <m/>
    <n v="504.55439999999999"/>
    <m/>
    <m/>
    <m/>
    <m/>
  </r>
  <r>
    <x v="12"/>
    <x v="6"/>
    <m/>
    <m/>
    <m/>
    <m/>
    <m/>
    <m/>
    <m/>
    <m/>
    <m/>
    <m/>
    <m/>
    <m/>
    <m/>
    <m/>
    <m/>
    <m/>
    <m/>
    <m/>
    <n v="404.76583636363637"/>
    <m/>
    <m/>
    <m/>
    <m/>
  </r>
  <r>
    <x v="12"/>
    <x v="7"/>
    <m/>
    <m/>
    <m/>
    <m/>
    <m/>
    <m/>
    <m/>
    <m/>
    <m/>
    <m/>
    <m/>
    <m/>
    <m/>
    <m/>
    <m/>
    <m/>
    <m/>
    <m/>
    <n v="2056.7667272727272"/>
    <m/>
    <m/>
    <m/>
    <m/>
  </r>
  <r>
    <x v="13"/>
    <x v="1"/>
    <m/>
    <m/>
    <m/>
    <m/>
    <m/>
    <m/>
    <m/>
    <m/>
    <m/>
    <m/>
    <m/>
    <m/>
    <m/>
    <m/>
    <m/>
    <m/>
    <m/>
    <m/>
    <n v="0"/>
    <m/>
    <m/>
    <m/>
    <m/>
  </r>
  <r>
    <x v="13"/>
    <x v="2"/>
    <m/>
    <m/>
    <m/>
    <m/>
    <m/>
    <m/>
    <m/>
    <m/>
    <m/>
    <m/>
    <m/>
    <m/>
    <m/>
    <m/>
    <m/>
    <m/>
    <m/>
    <m/>
    <n v="187.32000000000002"/>
    <m/>
    <m/>
    <m/>
    <m/>
  </r>
  <r>
    <x v="13"/>
    <x v="3"/>
    <m/>
    <m/>
    <m/>
    <m/>
    <m/>
    <m/>
    <m/>
    <m/>
    <m/>
    <m/>
    <m/>
    <m/>
    <m/>
    <m/>
    <m/>
    <m/>
    <m/>
    <m/>
    <n v="202.71429818181818"/>
    <m/>
    <m/>
    <m/>
    <m/>
  </r>
  <r>
    <x v="13"/>
    <x v="4"/>
    <m/>
    <m/>
    <m/>
    <m/>
    <m/>
    <m/>
    <m/>
    <m/>
    <m/>
    <m/>
    <m/>
    <m/>
    <m/>
    <m/>
    <m/>
    <m/>
    <m/>
    <m/>
    <n v="250.66821818181822"/>
    <m/>
    <m/>
    <m/>
    <m/>
  </r>
  <r>
    <x v="13"/>
    <x v="5"/>
    <m/>
    <m/>
    <m/>
    <m/>
    <m/>
    <m/>
    <m/>
    <m/>
    <m/>
    <m/>
    <m/>
    <m/>
    <m/>
    <m/>
    <m/>
    <m/>
    <m/>
    <m/>
    <n v="281.72928000000002"/>
    <m/>
    <m/>
    <m/>
    <m/>
  </r>
  <r>
    <x v="13"/>
    <x v="6"/>
    <m/>
    <m/>
    <m/>
    <m/>
    <m/>
    <m/>
    <m/>
    <m/>
    <m/>
    <m/>
    <m/>
    <m/>
    <m/>
    <m/>
    <m/>
    <m/>
    <m/>
    <m/>
    <n v="226.01009454545456"/>
    <m/>
    <m/>
    <m/>
    <m/>
  </r>
  <r>
    <x v="13"/>
    <x v="7"/>
    <m/>
    <m/>
    <m/>
    <m/>
    <m/>
    <m/>
    <m/>
    <m/>
    <m/>
    <m/>
    <m/>
    <m/>
    <m/>
    <m/>
    <m/>
    <m/>
    <m/>
    <m/>
    <n v="1148.4418909090909"/>
    <m/>
    <m/>
    <m/>
    <m/>
  </r>
  <r>
    <x v="14"/>
    <x v="1"/>
    <m/>
    <m/>
    <m/>
    <m/>
    <m/>
    <m/>
    <m/>
    <m/>
    <m/>
    <m/>
    <m/>
    <m/>
    <m/>
    <m/>
    <m/>
    <m/>
    <m/>
    <m/>
    <n v="0"/>
    <m/>
    <m/>
    <m/>
    <m/>
  </r>
  <r>
    <x v="14"/>
    <x v="2"/>
    <m/>
    <m/>
    <m/>
    <m/>
    <m/>
    <m/>
    <m/>
    <m/>
    <m/>
    <m/>
    <m/>
    <m/>
    <m/>
    <m/>
    <m/>
    <m/>
    <m/>
    <m/>
    <n v="2063.9849999999997"/>
    <m/>
    <m/>
    <m/>
    <m/>
  </r>
  <r>
    <x v="14"/>
    <x v="3"/>
    <m/>
    <m/>
    <m/>
    <m/>
    <m/>
    <m/>
    <m/>
    <m/>
    <m/>
    <m/>
    <m/>
    <m/>
    <m/>
    <m/>
    <m/>
    <m/>
    <m/>
    <m/>
    <n v="2233.6070399999994"/>
    <m/>
    <m/>
    <m/>
    <m/>
  </r>
  <r>
    <x v="14"/>
    <x v="4"/>
    <m/>
    <m/>
    <m/>
    <m/>
    <m/>
    <m/>
    <m/>
    <m/>
    <m/>
    <m/>
    <m/>
    <m/>
    <m/>
    <m/>
    <m/>
    <m/>
    <m/>
    <m/>
    <n v="2761.9871999999996"/>
    <m/>
    <m/>
    <m/>
    <m/>
  </r>
  <r>
    <x v="14"/>
    <x v="5"/>
    <m/>
    <m/>
    <m/>
    <m/>
    <m/>
    <m/>
    <m/>
    <m/>
    <m/>
    <m/>
    <m/>
    <m/>
    <m/>
    <m/>
    <m/>
    <m/>
    <m/>
    <m/>
    <n v="3104.2334399999991"/>
    <m/>
    <m/>
    <m/>
    <m/>
  </r>
  <r>
    <x v="14"/>
    <x v="6"/>
    <m/>
    <m/>
    <m/>
    <m/>
    <m/>
    <m/>
    <m/>
    <m/>
    <m/>
    <m/>
    <m/>
    <m/>
    <m/>
    <m/>
    <m/>
    <m/>
    <m/>
    <m/>
    <n v="2490.2917199999997"/>
    <m/>
    <m/>
    <m/>
    <m/>
  </r>
  <r>
    <x v="14"/>
    <x v="7"/>
    <m/>
    <m/>
    <m/>
    <m/>
    <m/>
    <m/>
    <m/>
    <m/>
    <m/>
    <m/>
    <m/>
    <m/>
    <m/>
    <m/>
    <m/>
    <m/>
    <m/>
    <m/>
    <n v="12654.104399999998"/>
    <m/>
    <m/>
    <m/>
    <m/>
  </r>
  <r>
    <x v="15"/>
    <x v="1"/>
    <m/>
    <m/>
    <m/>
    <m/>
    <m/>
    <m/>
    <m/>
    <m/>
    <m/>
    <m/>
    <m/>
    <m/>
    <m/>
    <m/>
    <m/>
    <m/>
    <m/>
    <m/>
    <n v="0"/>
    <m/>
    <m/>
    <m/>
    <m/>
  </r>
  <r>
    <x v="15"/>
    <x v="2"/>
    <m/>
    <m/>
    <m/>
    <m/>
    <m/>
    <m/>
    <m/>
    <m/>
    <m/>
    <m/>
    <m/>
    <m/>
    <m/>
    <m/>
    <m/>
    <m/>
    <m/>
    <m/>
    <n v="65.625"/>
    <m/>
    <m/>
    <m/>
    <m/>
  </r>
  <r>
    <x v="15"/>
    <x v="3"/>
    <m/>
    <m/>
    <m/>
    <m/>
    <m/>
    <m/>
    <m/>
    <m/>
    <m/>
    <m/>
    <m/>
    <m/>
    <m/>
    <m/>
    <m/>
    <m/>
    <m/>
    <m/>
    <n v="71.018181818181816"/>
    <m/>
    <m/>
    <m/>
    <m/>
  </r>
  <r>
    <x v="15"/>
    <x v="4"/>
    <m/>
    <m/>
    <m/>
    <m/>
    <m/>
    <m/>
    <m/>
    <m/>
    <m/>
    <m/>
    <m/>
    <m/>
    <m/>
    <m/>
    <m/>
    <m/>
    <m/>
    <m/>
    <n v="87.818181818181827"/>
    <m/>
    <m/>
    <m/>
    <m/>
  </r>
  <r>
    <x v="15"/>
    <x v="5"/>
    <m/>
    <m/>
    <m/>
    <m/>
    <m/>
    <m/>
    <m/>
    <m/>
    <m/>
    <m/>
    <m/>
    <m/>
    <m/>
    <m/>
    <m/>
    <m/>
    <m/>
    <m/>
    <n v="98.699999999999989"/>
    <m/>
    <m/>
    <m/>
    <m/>
  </r>
  <r>
    <x v="15"/>
    <x v="6"/>
    <m/>
    <m/>
    <m/>
    <m/>
    <m/>
    <m/>
    <m/>
    <m/>
    <m/>
    <m/>
    <m/>
    <m/>
    <m/>
    <m/>
    <m/>
    <m/>
    <m/>
    <m/>
    <n v="79.179545454545448"/>
    <m/>
    <m/>
    <m/>
    <m/>
  </r>
  <r>
    <x v="15"/>
    <x v="7"/>
    <m/>
    <m/>
    <m/>
    <m/>
    <m/>
    <m/>
    <m/>
    <m/>
    <m/>
    <m/>
    <m/>
    <m/>
    <m/>
    <m/>
    <m/>
    <m/>
    <m/>
    <m/>
    <n v="402.34090909090907"/>
    <m/>
    <m/>
    <m/>
    <m/>
  </r>
  <r>
    <x v="16"/>
    <x v="1"/>
    <m/>
    <m/>
    <m/>
    <m/>
    <m/>
    <m/>
    <m/>
    <m/>
    <m/>
    <m/>
    <m/>
    <m/>
    <m/>
    <m/>
    <m/>
    <m/>
    <m/>
    <m/>
    <n v="0"/>
    <m/>
    <m/>
    <m/>
    <m/>
  </r>
  <r>
    <x v="16"/>
    <x v="2"/>
    <m/>
    <m/>
    <m/>
    <m/>
    <m/>
    <m/>
    <m/>
    <m/>
    <m/>
    <m/>
    <m/>
    <m/>
    <m/>
    <m/>
    <m/>
    <m/>
    <m/>
    <m/>
    <n v="101.01"/>
    <m/>
    <m/>
    <m/>
    <m/>
  </r>
  <r>
    <x v="16"/>
    <x v="3"/>
    <m/>
    <m/>
    <m/>
    <m/>
    <m/>
    <m/>
    <m/>
    <m/>
    <m/>
    <m/>
    <m/>
    <m/>
    <m/>
    <m/>
    <m/>
    <m/>
    <m/>
    <m/>
    <n v="109.31118545454545"/>
    <m/>
    <m/>
    <m/>
    <m/>
  </r>
  <r>
    <x v="16"/>
    <x v="4"/>
    <m/>
    <m/>
    <m/>
    <m/>
    <m/>
    <m/>
    <m/>
    <m/>
    <m/>
    <m/>
    <m/>
    <m/>
    <m/>
    <m/>
    <m/>
    <m/>
    <m/>
    <m/>
    <n v="135.16974545454548"/>
    <m/>
    <m/>
    <m/>
    <m/>
  </r>
  <r>
    <x v="16"/>
    <x v="5"/>
    <m/>
    <m/>
    <m/>
    <m/>
    <m/>
    <m/>
    <m/>
    <m/>
    <m/>
    <m/>
    <m/>
    <m/>
    <m/>
    <m/>
    <m/>
    <m/>
    <m/>
    <m/>
    <n v="151.91904"/>
    <m/>
    <m/>
    <m/>
    <m/>
  </r>
  <r>
    <x v="16"/>
    <x v="6"/>
    <m/>
    <m/>
    <m/>
    <m/>
    <m/>
    <m/>
    <m/>
    <m/>
    <m/>
    <m/>
    <m/>
    <m/>
    <m/>
    <m/>
    <m/>
    <m/>
    <m/>
    <m/>
    <n v="121.87315636363635"/>
    <m/>
    <m/>
    <m/>
    <m/>
  </r>
  <r>
    <x v="16"/>
    <x v="7"/>
    <m/>
    <m/>
    <m/>
    <m/>
    <m/>
    <m/>
    <m/>
    <m/>
    <m/>
    <m/>
    <m/>
    <m/>
    <m/>
    <m/>
    <m/>
    <m/>
    <m/>
    <m/>
    <n v="619.28312727272726"/>
    <m/>
    <m/>
    <m/>
    <m/>
  </r>
  <r>
    <x v="17"/>
    <x v="1"/>
    <m/>
    <m/>
    <m/>
    <m/>
    <m/>
    <m/>
    <m/>
    <m/>
    <m/>
    <m/>
    <m/>
    <m/>
    <m/>
    <m/>
    <m/>
    <m/>
    <m/>
    <m/>
    <n v="0"/>
    <m/>
    <m/>
    <m/>
    <m/>
  </r>
  <r>
    <x v="17"/>
    <x v="2"/>
    <m/>
    <m/>
    <m/>
    <m/>
    <m/>
    <m/>
    <m/>
    <m/>
    <m/>
    <m/>
    <m/>
    <m/>
    <m/>
    <m/>
    <m/>
    <m/>
    <m/>
    <m/>
    <n v="23.135000000000002"/>
    <m/>
    <m/>
    <m/>
    <m/>
  </r>
  <r>
    <x v="17"/>
    <x v="3"/>
    <m/>
    <m/>
    <m/>
    <m/>
    <m/>
    <m/>
    <m/>
    <m/>
    <m/>
    <m/>
    <m/>
    <m/>
    <m/>
    <m/>
    <m/>
    <m/>
    <m/>
    <m/>
    <n v="25.036276363636365"/>
    <m/>
    <m/>
    <m/>
    <m/>
  </r>
  <r>
    <x v="17"/>
    <x v="4"/>
    <m/>
    <m/>
    <m/>
    <m/>
    <m/>
    <m/>
    <m/>
    <m/>
    <m/>
    <m/>
    <m/>
    <m/>
    <m/>
    <m/>
    <m/>
    <m/>
    <m/>
    <m/>
    <n v="30.958836363636369"/>
    <m/>
    <m/>
    <m/>
    <m/>
  </r>
  <r>
    <x v="17"/>
    <x v="5"/>
    <m/>
    <m/>
    <m/>
    <m/>
    <m/>
    <m/>
    <m/>
    <m/>
    <m/>
    <m/>
    <m/>
    <m/>
    <m/>
    <m/>
    <m/>
    <m/>
    <m/>
    <m/>
    <n v="34.79504"/>
    <m/>
    <m/>
    <m/>
    <m/>
  </r>
  <r>
    <x v="17"/>
    <x v="6"/>
    <m/>
    <m/>
    <m/>
    <m/>
    <m/>
    <m/>
    <m/>
    <m/>
    <m/>
    <m/>
    <m/>
    <m/>
    <m/>
    <m/>
    <m/>
    <m/>
    <m/>
    <m/>
    <n v="27.913429090909087"/>
    <m/>
    <m/>
    <m/>
    <m/>
  </r>
  <r>
    <x v="17"/>
    <x v="7"/>
    <m/>
    <m/>
    <m/>
    <m/>
    <m/>
    <m/>
    <m/>
    <m/>
    <m/>
    <m/>
    <m/>
    <m/>
    <m/>
    <m/>
    <m/>
    <m/>
    <m/>
    <m/>
    <n v="141.83858181818181"/>
    <m/>
    <m/>
    <m/>
    <m/>
  </r>
  <r>
    <x v="18"/>
    <x v="1"/>
    <m/>
    <m/>
    <m/>
    <m/>
    <m/>
    <m/>
    <m/>
    <m/>
    <m/>
    <m/>
    <m/>
    <m/>
    <m/>
    <m/>
    <m/>
    <m/>
    <m/>
    <m/>
    <n v="0"/>
    <m/>
    <m/>
    <m/>
    <m/>
  </r>
  <r>
    <x v="18"/>
    <x v="2"/>
    <m/>
    <m/>
    <m/>
    <m/>
    <m/>
    <m/>
    <m/>
    <m/>
    <m/>
    <m/>
    <m/>
    <m/>
    <m/>
    <m/>
    <m/>
    <m/>
    <m/>
    <m/>
    <n v="19.704999999999998"/>
    <m/>
    <m/>
    <m/>
    <m/>
  </r>
  <r>
    <x v="18"/>
    <x v="3"/>
    <m/>
    <m/>
    <m/>
    <m/>
    <m/>
    <m/>
    <m/>
    <m/>
    <m/>
    <m/>
    <m/>
    <m/>
    <m/>
    <m/>
    <m/>
    <m/>
    <m/>
    <m/>
    <n v="21.324392727272723"/>
    <m/>
    <m/>
    <m/>
    <m/>
  </r>
  <r>
    <x v="18"/>
    <x v="4"/>
    <m/>
    <m/>
    <m/>
    <m/>
    <m/>
    <m/>
    <m/>
    <m/>
    <m/>
    <m/>
    <m/>
    <m/>
    <m/>
    <m/>
    <m/>
    <m/>
    <m/>
    <m/>
    <n v="26.368872727272727"/>
    <m/>
    <m/>
    <m/>
    <m/>
  </r>
  <r>
    <x v="18"/>
    <x v="5"/>
    <m/>
    <m/>
    <m/>
    <m/>
    <m/>
    <m/>
    <m/>
    <m/>
    <m/>
    <m/>
    <m/>
    <m/>
    <m/>
    <m/>
    <m/>
    <m/>
    <m/>
    <m/>
    <n v="29.636319999999998"/>
    <m/>
    <m/>
    <m/>
    <m/>
  </r>
  <r>
    <x v="18"/>
    <x v="6"/>
    <m/>
    <m/>
    <m/>
    <m/>
    <m/>
    <m/>
    <m/>
    <m/>
    <m/>
    <m/>
    <m/>
    <m/>
    <m/>
    <m/>
    <m/>
    <m/>
    <m/>
    <m/>
    <n v="23.774978181818181"/>
    <m/>
    <m/>
    <m/>
    <m/>
  </r>
  <r>
    <x v="18"/>
    <x v="7"/>
    <m/>
    <m/>
    <m/>
    <m/>
    <m/>
    <m/>
    <m/>
    <m/>
    <m/>
    <m/>
    <m/>
    <m/>
    <m/>
    <m/>
    <m/>
    <m/>
    <m/>
    <m/>
    <n v="120.80956363636363"/>
    <m/>
    <m/>
    <m/>
    <m/>
  </r>
  <r>
    <x v="19"/>
    <x v="1"/>
    <m/>
    <m/>
    <m/>
    <m/>
    <m/>
    <m/>
    <m/>
    <m/>
    <m/>
    <m/>
    <m/>
    <m/>
    <m/>
    <m/>
    <m/>
    <m/>
    <m/>
    <m/>
    <n v="0"/>
    <m/>
    <m/>
    <m/>
    <m/>
  </r>
  <r>
    <x v="19"/>
    <x v="2"/>
    <m/>
    <m/>
    <m/>
    <m/>
    <m/>
    <m/>
    <m/>
    <m/>
    <m/>
    <m/>
    <m/>
    <m/>
    <m/>
    <m/>
    <m/>
    <m/>
    <m/>
    <m/>
    <n v="628.005"/>
    <m/>
    <m/>
    <m/>
    <m/>
  </r>
  <r>
    <x v="19"/>
    <x v="3"/>
    <m/>
    <m/>
    <m/>
    <m/>
    <m/>
    <m/>
    <m/>
    <m/>
    <m/>
    <m/>
    <m/>
    <m/>
    <m/>
    <m/>
    <m/>
    <m/>
    <m/>
    <m/>
    <n v="679.61559272727266"/>
    <m/>
    <m/>
    <m/>
    <m/>
  </r>
  <r>
    <x v="19"/>
    <x v="4"/>
    <m/>
    <m/>
    <m/>
    <m/>
    <m/>
    <m/>
    <m/>
    <m/>
    <m/>
    <m/>
    <m/>
    <m/>
    <m/>
    <m/>
    <m/>
    <m/>
    <m/>
    <m/>
    <n v="840.38487272727275"/>
    <m/>
    <m/>
    <m/>
    <m/>
  </r>
  <r>
    <x v="19"/>
    <x v="5"/>
    <m/>
    <m/>
    <m/>
    <m/>
    <m/>
    <m/>
    <m/>
    <m/>
    <m/>
    <m/>
    <m/>
    <m/>
    <m/>
    <m/>
    <m/>
    <m/>
    <m/>
    <m/>
    <n v="944.51951999999994"/>
    <m/>
    <m/>
    <m/>
    <m/>
  </r>
  <r>
    <x v="19"/>
    <x v="6"/>
    <m/>
    <m/>
    <m/>
    <m/>
    <m/>
    <m/>
    <m/>
    <m/>
    <m/>
    <m/>
    <m/>
    <m/>
    <m/>
    <m/>
    <m/>
    <m/>
    <m/>
    <m/>
    <n v="757.71657818181802"/>
    <m/>
    <m/>
    <m/>
    <m/>
  </r>
  <r>
    <x v="19"/>
    <x v="7"/>
    <m/>
    <m/>
    <m/>
    <m/>
    <m/>
    <m/>
    <m/>
    <m/>
    <m/>
    <m/>
    <m/>
    <m/>
    <m/>
    <m/>
    <m/>
    <m/>
    <m/>
    <m/>
    <n v="3850.2415636363635"/>
    <m/>
    <m/>
    <m/>
    <m/>
  </r>
  <r>
    <x v="20"/>
    <x v="1"/>
    <m/>
    <m/>
    <m/>
    <m/>
    <m/>
    <m/>
    <m/>
    <m/>
    <m/>
    <m/>
    <m/>
    <m/>
    <m/>
    <m/>
    <m/>
    <m/>
    <m/>
    <m/>
    <n v="0"/>
    <m/>
    <m/>
    <m/>
    <m/>
  </r>
  <r>
    <x v="20"/>
    <x v="2"/>
    <m/>
    <m/>
    <m/>
    <m/>
    <m/>
    <m/>
    <m/>
    <m/>
    <m/>
    <m/>
    <m/>
    <m/>
    <m/>
    <m/>
    <m/>
    <m/>
    <m/>
    <m/>
    <n v="1281.7350000000001"/>
    <m/>
    <m/>
    <m/>
    <m/>
  </r>
  <r>
    <x v="20"/>
    <x v="3"/>
    <m/>
    <m/>
    <m/>
    <m/>
    <m/>
    <m/>
    <m/>
    <m/>
    <m/>
    <m/>
    <m/>
    <m/>
    <m/>
    <m/>
    <m/>
    <m/>
    <m/>
    <m/>
    <n v="1387.0703127272727"/>
    <m/>
    <m/>
    <m/>
    <m/>
  </r>
  <r>
    <x v="20"/>
    <x v="4"/>
    <m/>
    <m/>
    <m/>
    <m/>
    <m/>
    <m/>
    <m/>
    <m/>
    <m/>
    <m/>
    <m/>
    <m/>
    <m/>
    <m/>
    <m/>
    <m/>
    <m/>
    <m/>
    <n v="1715.1944727272728"/>
    <m/>
    <m/>
    <m/>
    <m/>
  </r>
  <r>
    <x v="20"/>
    <x v="5"/>
    <m/>
    <m/>
    <m/>
    <m/>
    <m/>
    <m/>
    <m/>
    <m/>
    <m/>
    <m/>
    <m/>
    <m/>
    <m/>
    <m/>
    <m/>
    <m/>
    <m/>
    <m/>
    <n v="1927.7294400000003"/>
    <m/>
    <m/>
    <m/>
    <m/>
  </r>
  <r>
    <x v="20"/>
    <x v="6"/>
    <m/>
    <m/>
    <m/>
    <m/>
    <m/>
    <m/>
    <m/>
    <m/>
    <m/>
    <m/>
    <m/>
    <m/>
    <m/>
    <m/>
    <m/>
    <m/>
    <m/>
    <m/>
    <n v="1546.4715381818182"/>
    <m/>
    <m/>
    <m/>
    <m/>
  </r>
  <r>
    <x v="20"/>
    <x v="7"/>
    <m/>
    <m/>
    <m/>
    <m/>
    <m/>
    <m/>
    <m/>
    <m/>
    <m/>
    <m/>
    <m/>
    <m/>
    <m/>
    <m/>
    <m/>
    <m/>
    <m/>
    <m/>
    <n v="7858.2007636363633"/>
    <m/>
    <m/>
    <m/>
    <m/>
  </r>
  <r>
    <x v="21"/>
    <x v="1"/>
    <m/>
    <m/>
    <m/>
    <m/>
    <m/>
    <m/>
    <m/>
    <m/>
    <m/>
    <m/>
    <m/>
    <m/>
    <m/>
    <m/>
    <m/>
    <m/>
    <m/>
    <m/>
    <n v="0"/>
    <m/>
    <m/>
    <m/>
    <m/>
  </r>
  <r>
    <x v="21"/>
    <x v="2"/>
    <m/>
    <m/>
    <m/>
    <m/>
    <m/>
    <m/>
    <m/>
    <m/>
    <m/>
    <m/>
    <m/>
    <m/>
    <m/>
    <m/>
    <m/>
    <m/>
    <m/>
    <m/>
    <n v="372.40000000000003"/>
    <m/>
    <m/>
    <m/>
    <m/>
  </r>
  <r>
    <x v="21"/>
    <x v="3"/>
    <m/>
    <m/>
    <m/>
    <m/>
    <m/>
    <m/>
    <m/>
    <m/>
    <m/>
    <m/>
    <m/>
    <m/>
    <m/>
    <m/>
    <m/>
    <m/>
    <m/>
    <m/>
    <n v="403.0045090909091"/>
    <m/>
    <m/>
    <m/>
    <m/>
  </r>
  <r>
    <x v="21"/>
    <x v="4"/>
    <m/>
    <m/>
    <m/>
    <m/>
    <m/>
    <m/>
    <m/>
    <m/>
    <m/>
    <m/>
    <m/>
    <m/>
    <m/>
    <m/>
    <m/>
    <m/>
    <m/>
    <m/>
    <n v="498.33890909090917"/>
    <m/>
    <m/>
    <m/>
    <m/>
  </r>
  <r>
    <x v="21"/>
    <x v="5"/>
    <m/>
    <m/>
    <m/>
    <m/>
    <m/>
    <m/>
    <m/>
    <m/>
    <m/>
    <m/>
    <m/>
    <m/>
    <m/>
    <m/>
    <m/>
    <m/>
    <m/>
    <m/>
    <n v="560.08960000000002"/>
    <m/>
    <m/>
    <m/>
    <m/>
  </r>
  <r>
    <x v="21"/>
    <x v="6"/>
    <m/>
    <m/>
    <m/>
    <m/>
    <m/>
    <m/>
    <m/>
    <m/>
    <m/>
    <m/>
    <m/>
    <m/>
    <m/>
    <m/>
    <m/>
    <m/>
    <m/>
    <m/>
    <n v="449.31752727272732"/>
    <m/>
    <m/>
    <m/>
    <m/>
  </r>
  <r>
    <x v="21"/>
    <x v="7"/>
    <m/>
    <m/>
    <m/>
    <m/>
    <m/>
    <m/>
    <m/>
    <m/>
    <m/>
    <m/>
    <m/>
    <m/>
    <m/>
    <m/>
    <m/>
    <m/>
    <m/>
    <m/>
    <n v="2283.1505454545459"/>
    <m/>
    <m/>
    <m/>
    <m/>
  </r>
  <r>
    <x v="22"/>
    <x v="1"/>
    <m/>
    <m/>
    <m/>
    <m/>
    <m/>
    <m/>
    <m/>
    <m/>
    <m/>
    <m/>
    <m/>
    <m/>
    <m/>
    <m/>
    <m/>
    <m/>
    <m/>
    <m/>
    <n v="0"/>
    <m/>
    <m/>
    <m/>
    <m/>
  </r>
  <r>
    <x v="22"/>
    <x v="2"/>
    <m/>
    <m/>
    <m/>
    <m/>
    <m/>
    <m/>
    <m/>
    <m/>
    <m/>
    <m/>
    <m/>
    <m/>
    <m/>
    <m/>
    <m/>
    <m/>
    <m/>
    <m/>
    <n v="667.38"/>
    <m/>
    <m/>
    <m/>
    <m/>
  </r>
  <r>
    <x v="22"/>
    <x v="3"/>
    <m/>
    <m/>
    <m/>
    <m/>
    <m/>
    <m/>
    <m/>
    <m/>
    <m/>
    <m/>
    <m/>
    <m/>
    <m/>
    <m/>
    <m/>
    <m/>
    <m/>
    <m/>
    <n v="722.22650181818176"/>
    <m/>
    <m/>
    <m/>
    <m/>
  </r>
  <r>
    <x v="22"/>
    <x v="4"/>
    <m/>
    <m/>
    <m/>
    <m/>
    <m/>
    <m/>
    <m/>
    <m/>
    <m/>
    <m/>
    <m/>
    <m/>
    <m/>
    <m/>
    <m/>
    <m/>
    <m/>
    <m/>
    <n v="893.07578181818178"/>
    <m/>
    <m/>
    <m/>
    <m/>
  </r>
  <r>
    <x v="22"/>
    <x v="5"/>
    <m/>
    <m/>
    <m/>
    <m/>
    <m/>
    <m/>
    <m/>
    <m/>
    <m/>
    <m/>
    <m/>
    <m/>
    <m/>
    <m/>
    <m/>
    <m/>
    <m/>
    <m/>
    <n v="1003.73952"/>
    <m/>
    <m/>
    <m/>
    <m/>
  </r>
  <r>
    <x v="22"/>
    <x v="6"/>
    <m/>
    <m/>
    <m/>
    <m/>
    <m/>
    <m/>
    <m/>
    <m/>
    <m/>
    <m/>
    <m/>
    <m/>
    <m/>
    <m/>
    <m/>
    <m/>
    <m/>
    <m/>
    <n v="805.2243054545454"/>
    <m/>
    <m/>
    <m/>
    <m/>
  </r>
  <r>
    <x v="22"/>
    <x v="7"/>
    <m/>
    <m/>
    <m/>
    <m/>
    <m/>
    <m/>
    <m/>
    <m/>
    <m/>
    <m/>
    <m/>
    <m/>
    <m/>
    <m/>
    <m/>
    <m/>
    <m/>
    <m/>
    <n v="4091.6461090909088"/>
    <m/>
    <m/>
    <m/>
    <m/>
  </r>
  <r>
    <x v="23"/>
    <x v="1"/>
    <m/>
    <m/>
    <m/>
    <m/>
    <m/>
    <m/>
    <m/>
    <m/>
    <m/>
    <m/>
    <m/>
    <m/>
    <m/>
    <m/>
    <m/>
    <m/>
    <m/>
    <m/>
    <n v="0"/>
    <m/>
    <m/>
    <m/>
    <m/>
  </r>
  <r>
    <x v="23"/>
    <x v="2"/>
    <m/>
    <m/>
    <m/>
    <m/>
    <m/>
    <m/>
    <m/>
    <m/>
    <m/>
    <m/>
    <m/>
    <m/>
    <m/>
    <m/>
    <m/>
    <m/>
    <m/>
    <m/>
    <n v="189.875"/>
    <m/>
    <m/>
    <m/>
    <m/>
  </r>
  <r>
    <x v="23"/>
    <x v="3"/>
    <m/>
    <m/>
    <m/>
    <m/>
    <m/>
    <m/>
    <m/>
    <m/>
    <m/>
    <m/>
    <m/>
    <m/>
    <m/>
    <m/>
    <m/>
    <m/>
    <m/>
    <m/>
    <n v="205.47927272727273"/>
    <m/>
    <m/>
    <m/>
    <m/>
  </r>
  <r>
    <x v="23"/>
    <x v="4"/>
    <m/>
    <m/>
    <m/>
    <m/>
    <m/>
    <m/>
    <m/>
    <m/>
    <m/>
    <m/>
    <m/>
    <m/>
    <m/>
    <m/>
    <m/>
    <m/>
    <m/>
    <m/>
    <n v="254.08727272727273"/>
    <m/>
    <m/>
    <m/>
    <m/>
  </r>
  <r>
    <x v="23"/>
    <x v="5"/>
    <m/>
    <m/>
    <m/>
    <m/>
    <m/>
    <m/>
    <m/>
    <m/>
    <m/>
    <m/>
    <m/>
    <m/>
    <m/>
    <m/>
    <m/>
    <m/>
    <m/>
    <m/>
    <n v="285.572"/>
    <m/>
    <m/>
    <m/>
    <m/>
  </r>
  <r>
    <x v="23"/>
    <x v="6"/>
    <m/>
    <m/>
    <m/>
    <m/>
    <m/>
    <m/>
    <m/>
    <m/>
    <m/>
    <m/>
    <m/>
    <m/>
    <m/>
    <m/>
    <m/>
    <m/>
    <m/>
    <m/>
    <n v="229.09281818181819"/>
    <m/>
    <m/>
    <m/>
    <m/>
  </r>
  <r>
    <x v="23"/>
    <x v="7"/>
    <m/>
    <m/>
    <m/>
    <m/>
    <m/>
    <m/>
    <m/>
    <m/>
    <m/>
    <m/>
    <m/>
    <m/>
    <m/>
    <m/>
    <m/>
    <m/>
    <m/>
    <m/>
    <n v="1164.1063636363638"/>
    <m/>
    <m/>
    <m/>
    <m/>
  </r>
  <r>
    <x v="24"/>
    <x v="1"/>
    <m/>
    <m/>
    <m/>
    <m/>
    <m/>
    <m/>
    <m/>
    <m/>
    <m/>
    <m/>
    <m/>
    <m/>
    <m/>
    <m/>
    <m/>
    <m/>
    <m/>
    <m/>
    <n v="0"/>
    <m/>
    <m/>
    <m/>
    <m/>
  </r>
  <r>
    <x v="24"/>
    <x v="2"/>
    <m/>
    <m/>
    <m/>
    <m/>
    <m/>
    <m/>
    <m/>
    <m/>
    <m/>
    <m/>
    <m/>
    <m/>
    <m/>
    <m/>
    <m/>
    <m/>
    <m/>
    <m/>
    <n v="74.34"/>
    <m/>
    <m/>
    <m/>
    <m/>
  </r>
  <r>
    <x v="24"/>
    <x v="3"/>
    <m/>
    <m/>
    <m/>
    <m/>
    <m/>
    <m/>
    <m/>
    <m/>
    <m/>
    <m/>
    <m/>
    <m/>
    <m/>
    <m/>
    <m/>
    <m/>
    <m/>
    <m/>
    <n v="80.449396363636353"/>
    <m/>
    <m/>
    <m/>
    <m/>
  </r>
  <r>
    <x v="24"/>
    <x v="4"/>
    <m/>
    <m/>
    <m/>
    <m/>
    <m/>
    <m/>
    <m/>
    <m/>
    <m/>
    <m/>
    <m/>
    <m/>
    <m/>
    <m/>
    <m/>
    <m/>
    <m/>
    <m/>
    <n v="99.480436363636372"/>
    <m/>
    <m/>
    <m/>
    <m/>
  </r>
  <r>
    <x v="24"/>
    <x v="5"/>
    <m/>
    <m/>
    <m/>
    <m/>
    <m/>
    <m/>
    <m/>
    <m/>
    <m/>
    <m/>
    <m/>
    <m/>
    <m/>
    <m/>
    <m/>
    <m/>
    <m/>
    <m/>
    <n v="111.80736"/>
    <m/>
    <m/>
    <m/>
    <m/>
  </r>
  <r>
    <x v="24"/>
    <x v="6"/>
    <m/>
    <m/>
    <m/>
    <m/>
    <m/>
    <m/>
    <m/>
    <m/>
    <m/>
    <m/>
    <m/>
    <m/>
    <m/>
    <m/>
    <m/>
    <m/>
    <m/>
    <m/>
    <n v="89.694589090909091"/>
    <m/>
    <m/>
    <m/>
    <m/>
  </r>
  <r>
    <x v="24"/>
    <x v="7"/>
    <m/>
    <m/>
    <m/>
    <m/>
    <m/>
    <m/>
    <m/>
    <m/>
    <m/>
    <m/>
    <m/>
    <m/>
    <m/>
    <m/>
    <m/>
    <m/>
    <m/>
    <m/>
    <n v="455.77178181818181"/>
    <m/>
    <m/>
    <m/>
    <m/>
  </r>
  <r>
    <x v="25"/>
    <x v="1"/>
    <m/>
    <m/>
    <m/>
    <m/>
    <m/>
    <m/>
    <m/>
    <m/>
    <m/>
    <m/>
    <m/>
    <m/>
    <m/>
    <m/>
    <m/>
    <m/>
    <m/>
    <m/>
    <n v="0"/>
    <m/>
    <m/>
    <m/>
    <m/>
  </r>
  <r>
    <x v="25"/>
    <x v="2"/>
    <m/>
    <m/>
    <m/>
    <m/>
    <m/>
    <m/>
    <m/>
    <m/>
    <m/>
    <m/>
    <m/>
    <m/>
    <m/>
    <m/>
    <m/>
    <m/>
    <m/>
    <m/>
    <n v="1701.6999999999998"/>
    <m/>
    <m/>
    <m/>
    <m/>
  </r>
  <r>
    <x v="25"/>
    <x v="3"/>
    <m/>
    <m/>
    <m/>
    <m/>
    <m/>
    <m/>
    <m/>
    <m/>
    <m/>
    <m/>
    <m/>
    <m/>
    <m/>
    <m/>
    <m/>
    <m/>
    <m/>
    <m/>
    <n v="1841.5487999999998"/>
    <m/>
    <m/>
    <m/>
    <m/>
  </r>
  <r>
    <x v="25"/>
    <x v="4"/>
    <m/>
    <m/>
    <m/>
    <m/>
    <m/>
    <m/>
    <m/>
    <m/>
    <m/>
    <m/>
    <m/>
    <m/>
    <m/>
    <m/>
    <m/>
    <m/>
    <m/>
    <m/>
    <n v="2277.1839999999997"/>
    <m/>
    <m/>
    <m/>
    <m/>
  </r>
  <r>
    <x v="25"/>
    <x v="5"/>
    <m/>
    <m/>
    <m/>
    <m/>
    <m/>
    <m/>
    <m/>
    <m/>
    <m/>
    <m/>
    <m/>
    <m/>
    <m/>
    <m/>
    <m/>
    <m/>
    <m/>
    <m/>
    <n v="2559.3567999999996"/>
    <m/>
    <m/>
    <m/>
    <m/>
  </r>
  <r>
    <x v="25"/>
    <x v="6"/>
    <m/>
    <m/>
    <m/>
    <m/>
    <m/>
    <m/>
    <m/>
    <m/>
    <m/>
    <m/>
    <m/>
    <m/>
    <m/>
    <m/>
    <m/>
    <m/>
    <m/>
    <m/>
    <n v="2053.1783999999998"/>
    <m/>
    <m/>
    <m/>
    <m/>
  </r>
  <r>
    <x v="25"/>
    <x v="7"/>
    <m/>
    <m/>
    <m/>
    <m/>
    <m/>
    <m/>
    <m/>
    <m/>
    <m/>
    <m/>
    <m/>
    <m/>
    <m/>
    <m/>
    <m/>
    <m/>
    <m/>
    <m/>
    <n v="10432.967999999997"/>
    <m/>
    <m/>
    <m/>
    <m/>
  </r>
  <r>
    <x v="26"/>
    <x v="1"/>
    <m/>
    <m/>
    <m/>
    <m/>
    <m/>
    <m/>
    <m/>
    <m/>
    <m/>
    <m/>
    <m/>
    <m/>
    <m/>
    <m/>
    <m/>
    <m/>
    <m/>
    <m/>
    <n v="0"/>
    <m/>
    <m/>
    <m/>
    <m/>
  </r>
  <r>
    <x v="26"/>
    <x v="2"/>
    <m/>
    <m/>
    <m/>
    <m/>
    <m/>
    <m/>
    <m/>
    <m/>
    <m/>
    <m/>
    <m/>
    <m/>
    <m/>
    <m/>
    <m/>
    <m/>
    <m/>
    <m/>
    <n v="369.32"/>
    <m/>
    <m/>
    <m/>
    <m/>
  </r>
  <r>
    <x v="26"/>
    <x v="3"/>
    <m/>
    <m/>
    <m/>
    <m/>
    <m/>
    <m/>
    <m/>
    <m/>
    <m/>
    <m/>
    <m/>
    <m/>
    <m/>
    <m/>
    <m/>
    <m/>
    <m/>
    <m/>
    <n v="399.67138909090903"/>
    <m/>
    <m/>
    <m/>
    <m/>
  </r>
  <r>
    <x v="26"/>
    <x v="4"/>
    <m/>
    <m/>
    <m/>
    <m/>
    <m/>
    <m/>
    <m/>
    <m/>
    <m/>
    <m/>
    <m/>
    <m/>
    <m/>
    <m/>
    <m/>
    <m/>
    <m/>
    <m/>
    <n v="494.21730909090911"/>
    <m/>
    <m/>
    <m/>
    <m/>
  </r>
  <r>
    <x v="26"/>
    <x v="5"/>
    <m/>
    <m/>
    <m/>
    <m/>
    <m/>
    <m/>
    <m/>
    <m/>
    <m/>
    <m/>
    <m/>
    <m/>
    <m/>
    <m/>
    <m/>
    <m/>
    <m/>
    <m/>
    <n v="555.45727999999997"/>
    <m/>
    <m/>
    <m/>
    <m/>
  </r>
  <r>
    <x v="26"/>
    <x v="6"/>
    <m/>
    <m/>
    <m/>
    <m/>
    <m/>
    <m/>
    <m/>
    <m/>
    <m/>
    <m/>
    <m/>
    <m/>
    <m/>
    <m/>
    <m/>
    <m/>
    <m/>
    <m/>
    <n v="445.6013672727272"/>
    <m/>
    <m/>
    <m/>
    <m/>
  </r>
  <r>
    <x v="26"/>
    <x v="7"/>
    <m/>
    <m/>
    <m/>
    <m/>
    <m/>
    <m/>
    <m/>
    <m/>
    <m/>
    <m/>
    <m/>
    <m/>
    <m/>
    <m/>
    <m/>
    <m/>
    <m/>
    <m/>
    <n v="2264.2673454545452"/>
    <m/>
    <m/>
    <m/>
    <m/>
  </r>
  <r>
    <x v="27"/>
    <x v="0"/>
    <m/>
    <m/>
    <m/>
    <m/>
    <m/>
    <m/>
    <m/>
    <m/>
    <m/>
    <m/>
    <m/>
    <m/>
    <m/>
    <m/>
    <m/>
    <m/>
    <m/>
    <m/>
    <n v="0"/>
    <m/>
    <m/>
    <m/>
    <m/>
  </r>
  <r>
    <x v="27"/>
    <x v="1"/>
    <m/>
    <m/>
    <m/>
    <m/>
    <m/>
    <m/>
    <m/>
    <m/>
    <m/>
    <m/>
    <m/>
    <m/>
    <m/>
    <m/>
    <m/>
    <m/>
    <m/>
    <m/>
    <n v="0"/>
    <m/>
    <m/>
    <m/>
    <m/>
  </r>
  <r>
    <x v="27"/>
    <x v="2"/>
    <m/>
    <m/>
    <m/>
    <m/>
    <m/>
    <m/>
    <m/>
    <m/>
    <m/>
    <m/>
    <m/>
    <m/>
    <m/>
    <m/>
    <m/>
    <m/>
    <m/>
    <m/>
    <n v="15725.465"/>
    <m/>
    <m/>
    <m/>
    <m/>
  </r>
  <r>
    <x v="27"/>
    <x v="3"/>
    <m/>
    <m/>
    <m/>
    <m/>
    <m/>
    <m/>
    <m/>
    <m/>
    <m/>
    <m/>
    <m/>
    <m/>
    <m/>
    <m/>
    <m/>
    <m/>
    <m/>
    <m/>
    <n v="17017.812305454543"/>
    <m/>
    <m/>
    <m/>
    <m/>
  </r>
  <r>
    <x v="27"/>
    <x v="4"/>
    <m/>
    <m/>
    <m/>
    <m/>
    <m/>
    <m/>
    <m/>
    <m/>
    <m/>
    <m/>
    <m/>
    <m/>
    <m/>
    <m/>
    <m/>
    <m/>
    <m/>
    <m/>
    <n v="21043.531345454543"/>
    <m/>
    <m/>
    <m/>
    <m/>
  </r>
  <r>
    <x v="27"/>
    <x v="5"/>
    <m/>
    <m/>
    <m/>
    <m/>
    <m/>
    <m/>
    <m/>
    <m/>
    <m/>
    <m/>
    <m/>
    <m/>
    <m/>
    <m/>
    <m/>
    <m/>
    <m/>
    <m/>
    <n v="23651.099359999997"/>
    <m/>
    <m/>
    <m/>
    <m/>
  </r>
  <r>
    <x v="27"/>
    <x v="6"/>
    <m/>
    <m/>
    <m/>
    <m/>
    <m/>
    <m/>
    <m/>
    <m/>
    <m/>
    <m/>
    <m/>
    <m/>
    <m/>
    <m/>
    <m/>
    <m/>
    <m/>
    <m/>
    <n v="18973.488316363637"/>
    <m/>
    <m/>
    <m/>
    <m/>
  </r>
  <r>
    <x v="27"/>
    <x v="7"/>
    <m/>
    <m/>
    <m/>
    <m/>
    <m/>
    <m/>
    <m/>
    <m/>
    <m/>
    <m/>
    <m/>
    <m/>
    <m/>
    <m/>
    <m/>
    <m/>
    <m/>
    <m/>
    <n v="96411.396327272727"/>
    <m/>
    <m/>
    <m/>
    <m/>
  </r>
  <r>
    <x v="0"/>
    <x v="0"/>
    <m/>
    <m/>
    <m/>
    <m/>
    <m/>
    <m/>
    <m/>
    <m/>
    <m/>
    <m/>
    <m/>
    <m/>
    <m/>
    <m/>
    <m/>
    <m/>
    <m/>
    <m/>
    <m/>
    <n v="247.26599999999999"/>
    <m/>
    <m/>
    <m/>
  </r>
  <r>
    <x v="0"/>
    <x v="1"/>
    <m/>
    <m/>
    <m/>
    <m/>
    <m/>
    <m/>
    <m/>
    <m/>
    <m/>
    <m/>
    <m/>
    <m/>
    <m/>
    <m/>
    <m/>
    <m/>
    <m/>
    <m/>
    <m/>
    <n v="357.16199999999998"/>
    <m/>
    <m/>
    <m/>
  </r>
  <r>
    <x v="0"/>
    <x v="2"/>
    <m/>
    <m/>
    <m/>
    <m/>
    <m/>
    <m/>
    <m/>
    <m/>
    <m/>
    <m/>
    <m/>
    <m/>
    <m/>
    <m/>
    <m/>
    <m/>
    <m/>
    <m/>
    <m/>
    <n v="412.10999999999996"/>
    <m/>
    <m/>
    <m/>
  </r>
  <r>
    <x v="0"/>
    <x v="3"/>
    <m/>
    <m/>
    <m/>
    <m/>
    <m/>
    <m/>
    <m/>
    <m/>
    <m/>
    <m/>
    <m/>
    <m/>
    <m/>
    <m/>
    <m/>
    <m/>
    <m/>
    <m/>
    <m/>
    <n v="412.10999999999996"/>
    <m/>
    <m/>
    <m/>
  </r>
  <r>
    <x v="0"/>
    <x v="4"/>
    <m/>
    <m/>
    <m/>
    <m/>
    <m/>
    <m/>
    <m/>
    <m/>
    <m/>
    <m/>
    <m/>
    <m/>
    <m/>
    <m/>
    <m/>
    <m/>
    <m/>
    <m/>
    <m/>
    <n v="412.10999999999996"/>
    <m/>
    <m/>
    <m/>
  </r>
  <r>
    <x v="0"/>
    <x v="5"/>
    <m/>
    <m/>
    <m/>
    <m/>
    <m/>
    <m/>
    <m/>
    <m/>
    <m/>
    <m/>
    <m/>
    <m/>
    <m/>
    <m/>
    <m/>
    <m/>
    <m/>
    <m/>
    <m/>
    <n v="412.10999999999996"/>
    <m/>
    <m/>
    <m/>
  </r>
  <r>
    <x v="0"/>
    <x v="6"/>
    <m/>
    <m/>
    <m/>
    <m/>
    <m/>
    <m/>
    <m/>
    <m/>
    <m/>
    <m/>
    <m/>
    <m/>
    <m/>
    <m/>
    <m/>
    <m/>
    <m/>
    <m/>
    <m/>
    <n v="412.10999999999996"/>
    <m/>
    <m/>
    <m/>
  </r>
  <r>
    <x v="0"/>
    <x v="7"/>
    <m/>
    <m/>
    <m/>
    <m/>
    <m/>
    <m/>
    <m/>
    <m/>
    <m/>
    <m/>
    <m/>
    <m/>
    <m/>
    <m/>
    <m/>
    <m/>
    <m/>
    <m/>
    <m/>
    <n v="2664.9780000000001"/>
    <m/>
    <m/>
    <m/>
  </r>
  <r>
    <x v="1"/>
    <x v="0"/>
    <m/>
    <m/>
    <m/>
    <m/>
    <m/>
    <m/>
    <m/>
    <m/>
    <m/>
    <m/>
    <m/>
    <m/>
    <m/>
    <m/>
    <m/>
    <m/>
    <m/>
    <m/>
    <m/>
    <n v="319.05899999999997"/>
    <m/>
    <m/>
    <m/>
  </r>
  <r>
    <x v="1"/>
    <x v="1"/>
    <m/>
    <m/>
    <m/>
    <m/>
    <m/>
    <m/>
    <m/>
    <m/>
    <m/>
    <m/>
    <m/>
    <m/>
    <m/>
    <m/>
    <m/>
    <m/>
    <m/>
    <m/>
    <m/>
    <n v="460.863"/>
    <m/>
    <m/>
    <m/>
  </r>
  <r>
    <x v="1"/>
    <x v="2"/>
    <m/>
    <m/>
    <m/>
    <m/>
    <m/>
    <m/>
    <m/>
    <m/>
    <m/>
    <m/>
    <m/>
    <m/>
    <m/>
    <m/>
    <m/>
    <m/>
    <m/>
    <m/>
    <m/>
    <n v="531.76499999999999"/>
    <m/>
    <m/>
    <m/>
  </r>
  <r>
    <x v="1"/>
    <x v="3"/>
    <m/>
    <m/>
    <m/>
    <m/>
    <m/>
    <m/>
    <m/>
    <m/>
    <m/>
    <m/>
    <m/>
    <m/>
    <m/>
    <m/>
    <m/>
    <m/>
    <m/>
    <m/>
    <m/>
    <n v="531.76499999999999"/>
    <m/>
    <m/>
    <m/>
  </r>
  <r>
    <x v="1"/>
    <x v="4"/>
    <m/>
    <m/>
    <m/>
    <m/>
    <m/>
    <m/>
    <m/>
    <m/>
    <m/>
    <m/>
    <m/>
    <m/>
    <m/>
    <m/>
    <m/>
    <m/>
    <m/>
    <m/>
    <m/>
    <n v="531.76499999999999"/>
    <m/>
    <m/>
    <m/>
  </r>
  <r>
    <x v="1"/>
    <x v="5"/>
    <m/>
    <m/>
    <m/>
    <m/>
    <m/>
    <m/>
    <m/>
    <m/>
    <m/>
    <m/>
    <m/>
    <m/>
    <m/>
    <m/>
    <m/>
    <m/>
    <m/>
    <m/>
    <m/>
    <n v="531.76499999999999"/>
    <m/>
    <m/>
    <m/>
  </r>
  <r>
    <x v="1"/>
    <x v="6"/>
    <m/>
    <m/>
    <m/>
    <m/>
    <m/>
    <m/>
    <m/>
    <m/>
    <m/>
    <m/>
    <m/>
    <m/>
    <m/>
    <m/>
    <m/>
    <m/>
    <m/>
    <m/>
    <m/>
    <n v="531.76499999999999"/>
    <m/>
    <m/>
    <m/>
  </r>
  <r>
    <x v="1"/>
    <x v="7"/>
    <m/>
    <m/>
    <m/>
    <m/>
    <m/>
    <m/>
    <m/>
    <m/>
    <m/>
    <m/>
    <m/>
    <m/>
    <m/>
    <m/>
    <m/>
    <m/>
    <m/>
    <m/>
    <m/>
    <n v="3438.7469999999994"/>
    <m/>
    <m/>
    <m/>
  </r>
  <r>
    <x v="2"/>
    <x v="0"/>
    <m/>
    <m/>
    <m/>
    <m/>
    <m/>
    <m/>
    <m/>
    <m/>
    <m/>
    <m/>
    <m/>
    <m/>
    <m/>
    <m/>
    <m/>
    <m/>
    <m/>
    <m/>
    <m/>
    <n v="174.01500000000001"/>
    <m/>
    <m/>
    <m/>
  </r>
  <r>
    <x v="2"/>
    <x v="1"/>
    <m/>
    <m/>
    <m/>
    <m/>
    <m/>
    <m/>
    <m/>
    <m/>
    <m/>
    <m/>
    <m/>
    <m/>
    <m/>
    <m/>
    <m/>
    <m/>
    <m/>
    <m/>
    <m/>
    <n v="251.35500000000002"/>
    <m/>
    <m/>
    <m/>
  </r>
  <r>
    <x v="2"/>
    <x v="2"/>
    <m/>
    <m/>
    <m/>
    <m/>
    <m/>
    <m/>
    <m/>
    <m/>
    <m/>
    <m/>
    <m/>
    <m/>
    <m/>
    <m/>
    <m/>
    <m/>
    <m/>
    <m/>
    <m/>
    <n v="290.02500000000003"/>
    <m/>
    <m/>
    <m/>
  </r>
  <r>
    <x v="2"/>
    <x v="3"/>
    <m/>
    <m/>
    <m/>
    <m/>
    <m/>
    <m/>
    <m/>
    <m/>
    <m/>
    <m/>
    <m/>
    <m/>
    <m/>
    <m/>
    <m/>
    <m/>
    <m/>
    <m/>
    <m/>
    <n v="290.02500000000003"/>
    <m/>
    <m/>
    <m/>
  </r>
  <r>
    <x v="2"/>
    <x v="4"/>
    <m/>
    <m/>
    <m/>
    <m/>
    <m/>
    <m/>
    <m/>
    <m/>
    <m/>
    <m/>
    <m/>
    <m/>
    <m/>
    <m/>
    <m/>
    <m/>
    <m/>
    <m/>
    <m/>
    <n v="290.02500000000003"/>
    <m/>
    <m/>
    <m/>
  </r>
  <r>
    <x v="2"/>
    <x v="5"/>
    <m/>
    <m/>
    <m/>
    <m/>
    <m/>
    <m/>
    <m/>
    <m/>
    <m/>
    <m/>
    <m/>
    <m/>
    <m/>
    <m/>
    <m/>
    <m/>
    <m/>
    <m/>
    <m/>
    <n v="290.02500000000003"/>
    <m/>
    <m/>
    <m/>
  </r>
  <r>
    <x v="2"/>
    <x v="6"/>
    <m/>
    <m/>
    <m/>
    <m/>
    <m/>
    <m/>
    <m/>
    <m/>
    <m/>
    <m/>
    <m/>
    <m/>
    <m/>
    <m/>
    <m/>
    <m/>
    <m/>
    <m/>
    <m/>
    <n v="290.02500000000003"/>
    <m/>
    <m/>
    <m/>
  </r>
  <r>
    <x v="2"/>
    <x v="7"/>
    <m/>
    <m/>
    <m/>
    <m/>
    <m/>
    <m/>
    <m/>
    <m/>
    <m/>
    <m/>
    <m/>
    <m/>
    <m/>
    <m/>
    <m/>
    <m/>
    <m/>
    <m/>
    <m/>
    <n v="1875.4950000000003"/>
    <m/>
    <m/>
    <m/>
  </r>
  <r>
    <x v="3"/>
    <x v="0"/>
    <m/>
    <m/>
    <m/>
    <m/>
    <m/>
    <m/>
    <m/>
    <m/>
    <m/>
    <m/>
    <m/>
    <m/>
    <m/>
    <m/>
    <m/>
    <m/>
    <m/>
    <m/>
    <m/>
    <n v="104.274"/>
    <m/>
    <m/>
    <m/>
  </r>
  <r>
    <x v="3"/>
    <x v="1"/>
    <m/>
    <m/>
    <m/>
    <m/>
    <m/>
    <m/>
    <m/>
    <m/>
    <m/>
    <m/>
    <m/>
    <m/>
    <m/>
    <m/>
    <m/>
    <m/>
    <m/>
    <m/>
    <m/>
    <n v="150.61799999999999"/>
    <m/>
    <m/>
    <m/>
  </r>
  <r>
    <x v="3"/>
    <x v="2"/>
    <m/>
    <m/>
    <m/>
    <m/>
    <m/>
    <m/>
    <m/>
    <m/>
    <m/>
    <m/>
    <m/>
    <m/>
    <m/>
    <m/>
    <m/>
    <m/>
    <m/>
    <m/>
    <m/>
    <n v="173.79000000000002"/>
    <m/>
    <m/>
    <m/>
  </r>
  <r>
    <x v="3"/>
    <x v="3"/>
    <m/>
    <m/>
    <m/>
    <m/>
    <m/>
    <m/>
    <m/>
    <m/>
    <m/>
    <m/>
    <m/>
    <m/>
    <m/>
    <m/>
    <m/>
    <m/>
    <m/>
    <m/>
    <m/>
    <n v="173.79000000000002"/>
    <m/>
    <m/>
    <m/>
  </r>
  <r>
    <x v="3"/>
    <x v="4"/>
    <m/>
    <m/>
    <m/>
    <m/>
    <m/>
    <m/>
    <m/>
    <m/>
    <m/>
    <m/>
    <m/>
    <m/>
    <m/>
    <m/>
    <m/>
    <m/>
    <m/>
    <m/>
    <m/>
    <n v="173.79000000000002"/>
    <m/>
    <m/>
    <m/>
  </r>
  <r>
    <x v="3"/>
    <x v="5"/>
    <m/>
    <m/>
    <m/>
    <m/>
    <m/>
    <m/>
    <m/>
    <m/>
    <m/>
    <m/>
    <m/>
    <m/>
    <m/>
    <m/>
    <m/>
    <m/>
    <m/>
    <m/>
    <m/>
    <n v="173.79000000000002"/>
    <m/>
    <m/>
    <m/>
  </r>
  <r>
    <x v="3"/>
    <x v="6"/>
    <m/>
    <m/>
    <m/>
    <m/>
    <m/>
    <m/>
    <m/>
    <m/>
    <m/>
    <m/>
    <m/>
    <m/>
    <m/>
    <m/>
    <m/>
    <m/>
    <m/>
    <m/>
    <m/>
    <n v="173.79000000000002"/>
    <m/>
    <m/>
    <m/>
  </r>
  <r>
    <x v="3"/>
    <x v="7"/>
    <m/>
    <m/>
    <m/>
    <m/>
    <m/>
    <m/>
    <m/>
    <m/>
    <m/>
    <m/>
    <m/>
    <m/>
    <m/>
    <m/>
    <m/>
    <m/>
    <m/>
    <m/>
    <m/>
    <n v="1123.8419999999999"/>
    <m/>
    <m/>
    <m/>
  </r>
  <r>
    <x v="4"/>
    <x v="0"/>
    <m/>
    <m/>
    <m/>
    <m/>
    <m/>
    <m/>
    <m/>
    <m/>
    <m/>
    <m/>
    <m/>
    <m/>
    <m/>
    <m/>
    <m/>
    <m/>
    <m/>
    <m/>
    <m/>
    <n v="26.082000000000001"/>
    <m/>
    <m/>
    <m/>
  </r>
  <r>
    <x v="4"/>
    <x v="1"/>
    <m/>
    <m/>
    <m/>
    <m/>
    <m/>
    <m/>
    <m/>
    <m/>
    <m/>
    <m/>
    <m/>
    <m/>
    <m/>
    <m/>
    <m/>
    <m/>
    <m/>
    <m/>
    <m/>
    <n v="37.673999999999999"/>
    <m/>
    <m/>
    <m/>
  </r>
  <r>
    <x v="4"/>
    <x v="2"/>
    <m/>
    <m/>
    <m/>
    <m/>
    <m/>
    <m/>
    <m/>
    <m/>
    <m/>
    <m/>
    <m/>
    <m/>
    <m/>
    <m/>
    <m/>
    <m/>
    <m/>
    <m/>
    <m/>
    <n v="43.47"/>
    <m/>
    <m/>
    <m/>
  </r>
  <r>
    <x v="4"/>
    <x v="3"/>
    <m/>
    <m/>
    <m/>
    <m/>
    <m/>
    <m/>
    <m/>
    <m/>
    <m/>
    <m/>
    <m/>
    <m/>
    <m/>
    <m/>
    <m/>
    <m/>
    <m/>
    <m/>
    <m/>
    <n v="43.47"/>
    <m/>
    <m/>
    <m/>
  </r>
  <r>
    <x v="4"/>
    <x v="4"/>
    <m/>
    <m/>
    <m/>
    <m/>
    <m/>
    <m/>
    <m/>
    <m/>
    <m/>
    <m/>
    <m/>
    <m/>
    <m/>
    <m/>
    <m/>
    <m/>
    <m/>
    <m/>
    <m/>
    <n v="43.47"/>
    <m/>
    <m/>
    <m/>
  </r>
  <r>
    <x v="4"/>
    <x v="5"/>
    <m/>
    <m/>
    <m/>
    <m/>
    <m/>
    <m/>
    <m/>
    <m/>
    <m/>
    <m/>
    <m/>
    <m/>
    <m/>
    <m/>
    <m/>
    <m/>
    <m/>
    <m/>
    <m/>
    <n v="43.47"/>
    <m/>
    <m/>
    <m/>
  </r>
  <r>
    <x v="4"/>
    <x v="6"/>
    <m/>
    <m/>
    <m/>
    <m/>
    <m/>
    <m/>
    <m/>
    <m/>
    <m/>
    <m/>
    <m/>
    <m/>
    <m/>
    <m/>
    <m/>
    <m/>
    <m/>
    <m/>
    <m/>
    <n v="43.47"/>
    <m/>
    <m/>
    <m/>
  </r>
  <r>
    <x v="4"/>
    <x v="7"/>
    <m/>
    <m/>
    <m/>
    <m/>
    <m/>
    <m/>
    <m/>
    <m/>
    <m/>
    <m/>
    <m/>
    <m/>
    <m/>
    <m/>
    <m/>
    <m/>
    <m/>
    <m/>
    <m/>
    <n v="281.10599999999999"/>
    <m/>
    <m/>
    <m/>
  </r>
  <r>
    <x v="5"/>
    <x v="0"/>
    <m/>
    <m/>
    <m/>
    <m/>
    <m/>
    <m/>
    <m/>
    <m/>
    <m/>
    <m/>
    <m/>
    <m/>
    <m/>
    <m/>
    <m/>
    <m/>
    <m/>
    <m/>
    <m/>
    <n v="294.327"/>
    <m/>
    <m/>
    <m/>
  </r>
  <r>
    <x v="5"/>
    <x v="1"/>
    <m/>
    <m/>
    <m/>
    <m/>
    <m/>
    <m/>
    <m/>
    <m/>
    <m/>
    <m/>
    <m/>
    <m/>
    <m/>
    <m/>
    <m/>
    <m/>
    <m/>
    <m/>
    <m/>
    <n v="425.13900000000001"/>
    <m/>
    <m/>
    <m/>
  </r>
  <r>
    <x v="5"/>
    <x v="2"/>
    <m/>
    <m/>
    <m/>
    <m/>
    <m/>
    <m/>
    <m/>
    <m/>
    <m/>
    <m/>
    <m/>
    <m/>
    <m/>
    <m/>
    <m/>
    <m/>
    <m/>
    <m/>
    <m/>
    <n v="490.54499999999996"/>
    <m/>
    <m/>
    <m/>
  </r>
  <r>
    <x v="5"/>
    <x v="3"/>
    <m/>
    <m/>
    <m/>
    <m/>
    <m/>
    <m/>
    <m/>
    <m/>
    <m/>
    <m/>
    <m/>
    <m/>
    <m/>
    <m/>
    <m/>
    <m/>
    <m/>
    <m/>
    <m/>
    <n v="490.54499999999996"/>
    <m/>
    <m/>
    <m/>
  </r>
  <r>
    <x v="5"/>
    <x v="4"/>
    <m/>
    <m/>
    <m/>
    <m/>
    <m/>
    <m/>
    <m/>
    <m/>
    <m/>
    <m/>
    <m/>
    <m/>
    <m/>
    <m/>
    <m/>
    <m/>
    <m/>
    <m/>
    <m/>
    <n v="490.54499999999996"/>
    <m/>
    <m/>
    <m/>
  </r>
  <r>
    <x v="5"/>
    <x v="5"/>
    <m/>
    <m/>
    <m/>
    <m/>
    <m/>
    <m/>
    <m/>
    <m/>
    <m/>
    <m/>
    <m/>
    <m/>
    <m/>
    <m/>
    <m/>
    <m/>
    <m/>
    <m/>
    <m/>
    <n v="490.54499999999996"/>
    <m/>
    <m/>
    <m/>
  </r>
  <r>
    <x v="5"/>
    <x v="6"/>
    <m/>
    <m/>
    <m/>
    <m/>
    <m/>
    <m/>
    <m/>
    <m/>
    <m/>
    <m/>
    <m/>
    <m/>
    <m/>
    <m/>
    <m/>
    <m/>
    <m/>
    <m/>
    <m/>
    <n v="490.54499999999996"/>
    <m/>
    <m/>
    <m/>
  </r>
  <r>
    <x v="5"/>
    <x v="7"/>
    <m/>
    <m/>
    <m/>
    <m/>
    <m/>
    <m/>
    <m/>
    <m/>
    <m/>
    <m/>
    <m/>
    <m/>
    <m/>
    <m/>
    <m/>
    <m/>
    <m/>
    <m/>
    <m/>
    <n v="3172.1910000000003"/>
    <m/>
    <m/>
    <m/>
  </r>
  <r>
    <x v="6"/>
    <x v="0"/>
    <m/>
    <m/>
    <m/>
    <m/>
    <m/>
    <m/>
    <m/>
    <m/>
    <m/>
    <m/>
    <m/>
    <m/>
    <m/>
    <m/>
    <m/>
    <m/>
    <m/>
    <m/>
    <m/>
    <n v="160.947"/>
    <m/>
    <m/>
    <m/>
  </r>
  <r>
    <x v="6"/>
    <x v="1"/>
    <m/>
    <m/>
    <m/>
    <m/>
    <m/>
    <m/>
    <m/>
    <m/>
    <m/>
    <m/>
    <m/>
    <m/>
    <m/>
    <m/>
    <m/>
    <m/>
    <m/>
    <m/>
    <m/>
    <n v="232.47900000000001"/>
    <m/>
    <m/>
    <m/>
  </r>
  <r>
    <x v="6"/>
    <x v="2"/>
    <m/>
    <m/>
    <m/>
    <m/>
    <m/>
    <m/>
    <m/>
    <m/>
    <m/>
    <m/>
    <m/>
    <m/>
    <m/>
    <m/>
    <m/>
    <m/>
    <m/>
    <m/>
    <m/>
    <n v="268.245"/>
    <m/>
    <m/>
    <m/>
  </r>
  <r>
    <x v="6"/>
    <x v="3"/>
    <m/>
    <m/>
    <m/>
    <m/>
    <m/>
    <m/>
    <m/>
    <m/>
    <m/>
    <m/>
    <m/>
    <m/>
    <m/>
    <m/>
    <m/>
    <m/>
    <m/>
    <m/>
    <m/>
    <n v="268.245"/>
    <m/>
    <m/>
    <m/>
  </r>
  <r>
    <x v="6"/>
    <x v="4"/>
    <m/>
    <m/>
    <m/>
    <m/>
    <m/>
    <m/>
    <m/>
    <m/>
    <m/>
    <m/>
    <m/>
    <m/>
    <m/>
    <m/>
    <m/>
    <m/>
    <m/>
    <m/>
    <m/>
    <n v="268.245"/>
    <m/>
    <m/>
    <m/>
  </r>
  <r>
    <x v="6"/>
    <x v="5"/>
    <m/>
    <m/>
    <m/>
    <m/>
    <m/>
    <m/>
    <m/>
    <m/>
    <m/>
    <m/>
    <m/>
    <m/>
    <m/>
    <m/>
    <m/>
    <m/>
    <m/>
    <m/>
    <m/>
    <n v="268.245"/>
    <m/>
    <m/>
    <m/>
  </r>
  <r>
    <x v="6"/>
    <x v="6"/>
    <m/>
    <m/>
    <m/>
    <m/>
    <m/>
    <m/>
    <m/>
    <m/>
    <m/>
    <m/>
    <m/>
    <m/>
    <m/>
    <m/>
    <m/>
    <m/>
    <m/>
    <m/>
    <m/>
    <n v="268.245"/>
    <m/>
    <m/>
    <m/>
  </r>
  <r>
    <x v="6"/>
    <x v="7"/>
    <m/>
    <m/>
    <m/>
    <m/>
    <m/>
    <m/>
    <m/>
    <m/>
    <m/>
    <m/>
    <m/>
    <m/>
    <m/>
    <m/>
    <m/>
    <m/>
    <m/>
    <m/>
    <m/>
    <n v="1734.6509999999998"/>
    <m/>
    <m/>
    <m/>
  </r>
  <r>
    <x v="7"/>
    <x v="0"/>
    <m/>
    <m/>
    <m/>
    <m/>
    <m/>
    <m/>
    <m/>
    <m/>
    <m/>
    <m/>
    <m/>
    <m/>
    <m/>
    <m/>
    <m/>
    <m/>
    <m/>
    <m/>
    <m/>
    <n v="37.125"/>
    <m/>
    <m/>
    <m/>
  </r>
  <r>
    <x v="7"/>
    <x v="1"/>
    <m/>
    <m/>
    <m/>
    <m/>
    <m/>
    <m/>
    <m/>
    <m/>
    <m/>
    <m/>
    <m/>
    <m/>
    <m/>
    <m/>
    <m/>
    <m/>
    <m/>
    <m/>
    <m/>
    <n v="53.625"/>
    <m/>
    <m/>
    <m/>
  </r>
  <r>
    <x v="7"/>
    <x v="2"/>
    <m/>
    <m/>
    <m/>
    <m/>
    <m/>
    <m/>
    <m/>
    <m/>
    <m/>
    <m/>
    <m/>
    <m/>
    <m/>
    <m/>
    <m/>
    <m/>
    <m/>
    <m/>
    <m/>
    <n v="61.875"/>
    <m/>
    <m/>
    <m/>
  </r>
  <r>
    <x v="7"/>
    <x v="3"/>
    <m/>
    <m/>
    <m/>
    <m/>
    <m/>
    <m/>
    <m/>
    <m/>
    <m/>
    <m/>
    <m/>
    <m/>
    <m/>
    <m/>
    <m/>
    <m/>
    <m/>
    <m/>
    <m/>
    <n v="61.875"/>
    <m/>
    <m/>
    <m/>
  </r>
  <r>
    <x v="7"/>
    <x v="4"/>
    <m/>
    <m/>
    <m/>
    <m/>
    <m/>
    <m/>
    <m/>
    <m/>
    <m/>
    <m/>
    <m/>
    <m/>
    <m/>
    <m/>
    <m/>
    <m/>
    <m/>
    <m/>
    <m/>
    <n v="61.875"/>
    <m/>
    <m/>
    <m/>
  </r>
  <r>
    <x v="7"/>
    <x v="5"/>
    <m/>
    <m/>
    <m/>
    <m/>
    <m/>
    <m/>
    <m/>
    <m/>
    <m/>
    <m/>
    <m/>
    <m/>
    <m/>
    <m/>
    <m/>
    <m/>
    <m/>
    <m/>
    <m/>
    <n v="61.875"/>
    <m/>
    <m/>
    <m/>
  </r>
  <r>
    <x v="7"/>
    <x v="6"/>
    <m/>
    <m/>
    <m/>
    <m/>
    <m/>
    <m/>
    <m/>
    <m/>
    <m/>
    <m/>
    <m/>
    <m/>
    <m/>
    <m/>
    <m/>
    <m/>
    <m/>
    <m/>
    <m/>
    <n v="61.875"/>
    <m/>
    <m/>
    <m/>
  </r>
  <r>
    <x v="7"/>
    <x v="7"/>
    <m/>
    <m/>
    <m/>
    <m/>
    <m/>
    <m/>
    <m/>
    <m/>
    <m/>
    <m/>
    <m/>
    <m/>
    <m/>
    <m/>
    <m/>
    <m/>
    <m/>
    <m/>
    <m/>
    <n v="400.125"/>
    <m/>
    <m/>
    <m/>
  </r>
  <r>
    <x v="8"/>
    <x v="0"/>
    <m/>
    <m/>
    <m/>
    <m/>
    <m/>
    <m/>
    <m/>
    <m/>
    <m/>
    <m/>
    <m/>
    <m/>
    <m/>
    <m/>
    <m/>
    <m/>
    <m/>
    <m/>
    <m/>
    <n v="151.30799999999999"/>
    <m/>
    <m/>
    <m/>
  </r>
  <r>
    <x v="8"/>
    <x v="1"/>
    <m/>
    <m/>
    <m/>
    <m/>
    <m/>
    <m/>
    <m/>
    <m/>
    <m/>
    <m/>
    <m/>
    <m/>
    <m/>
    <m/>
    <m/>
    <m/>
    <m/>
    <m/>
    <m/>
    <n v="218.55600000000001"/>
    <m/>
    <m/>
    <m/>
  </r>
  <r>
    <x v="8"/>
    <x v="2"/>
    <m/>
    <m/>
    <m/>
    <m/>
    <m/>
    <m/>
    <m/>
    <m/>
    <m/>
    <m/>
    <m/>
    <m/>
    <m/>
    <m/>
    <m/>
    <m/>
    <m/>
    <m/>
    <m/>
    <n v="252.18"/>
    <m/>
    <m/>
    <m/>
  </r>
  <r>
    <x v="8"/>
    <x v="3"/>
    <m/>
    <m/>
    <m/>
    <m/>
    <m/>
    <m/>
    <m/>
    <m/>
    <m/>
    <m/>
    <m/>
    <m/>
    <m/>
    <m/>
    <m/>
    <m/>
    <m/>
    <m/>
    <m/>
    <n v="252.18"/>
    <m/>
    <m/>
    <m/>
  </r>
  <r>
    <x v="8"/>
    <x v="4"/>
    <m/>
    <m/>
    <m/>
    <m/>
    <m/>
    <m/>
    <m/>
    <m/>
    <m/>
    <m/>
    <m/>
    <m/>
    <m/>
    <m/>
    <m/>
    <m/>
    <m/>
    <m/>
    <m/>
    <n v="252.18"/>
    <m/>
    <m/>
    <m/>
  </r>
  <r>
    <x v="8"/>
    <x v="5"/>
    <m/>
    <m/>
    <m/>
    <m/>
    <m/>
    <m/>
    <m/>
    <m/>
    <m/>
    <m/>
    <m/>
    <m/>
    <m/>
    <m/>
    <m/>
    <m/>
    <m/>
    <m/>
    <m/>
    <n v="252.18"/>
    <m/>
    <m/>
    <m/>
  </r>
  <r>
    <x v="8"/>
    <x v="6"/>
    <m/>
    <m/>
    <m/>
    <m/>
    <m/>
    <m/>
    <m/>
    <m/>
    <m/>
    <m/>
    <m/>
    <m/>
    <m/>
    <m/>
    <m/>
    <m/>
    <m/>
    <m/>
    <m/>
    <n v="252.18"/>
    <m/>
    <m/>
    <m/>
  </r>
  <r>
    <x v="8"/>
    <x v="7"/>
    <m/>
    <m/>
    <m/>
    <m/>
    <m/>
    <m/>
    <m/>
    <m/>
    <m/>
    <m/>
    <m/>
    <m/>
    <m/>
    <m/>
    <m/>
    <m/>
    <m/>
    <m/>
    <m/>
    <n v="1630.7640000000004"/>
    <m/>
    <m/>
    <m/>
  </r>
  <r>
    <x v="9"/>
    <x v="0"/>
    <m/>
    <m/>
    <m/>
    <m/>
    <m/>
    <m/>
    <m/>
    <m/>
    <m/>
    <m/>
    <m/>
    <m/>
    <m/>
    <m/>
    <m/>
    <m/>
    <m/>
    <m/>
    <m/>
    <n v="1848.6089999999999"/>
    <m/>
    <m/>
    <m/>
  </r>
  <r>
    <x v="9"/>
    <x v="1"/>
    <m/>
    <m/>
    <m/>
    <m/>
    <m/>
    <m/>
    <m/>
    <m/>
    <m/>
    <m/>
    <m/>
    <m/>
    <m/>
    <m/>
    <m/>
    <m/>
    <m/>
    <m/>
    <m/>
    <n v="2670.2130000000002"/>
    <m/>
    <m/>
    <m/>
  </r>
  <r>
    <x v="9"/>
    <x v="2"/>
    <m/>
    <m/>
    <m/>
    <m/>
    <m/>
    <m/>
    <m/>
    <m/>
    <m/>
    <m/>
    <m/>
    <m/>
    <m/>
    <m/>
    <m/>
    <m/>
    <m/>
    <m/>
    <m/>
    <n v="3081.0149999999999"/>
    <m/>
    <m/>
    <m/>
  </r>
  <r>
    <x v="9"/>
    <x v="3"/>
    <m/>
    <m/>
    <m/>
    <m/>
    <m/>
    <m/>
    <m/>
    <m/>
    <m/>
    <m/>
    <m/>
    <m/>
    <m/>
    <m/>
    <m/>
    <m/>
    <m/>
    <m/>
    <m/>
    <n v="3081.0149999999999"/>
    <m/>
    <m/>
    <m/>
  </r>
  <r>
    <x v="9"/>
    <x v="4"/>
    <m/>
    <m/>
    <m/>
    <m/>
    <m/>
    <m/>
    <m/>
    <m/>
    <m/>
    <m/>
    <m/>
    <m/>
    <m/>
    <m/>
    <m/>
    <m/>
    <m/>
    <m/>
    <m/>
    <n v="3081.0149999999999"/>
    <m/>
    <m/>
    <m/>
  </r>
  <r>
    <x v="9"/>
    <x v="5"/>
    <m/>
    <m/>
    <m/>
    <m/>
    <m/>
    <m/>
    <m/>
    <m/>
    <m/>
    <m/>
    <m/>
    <m/>
    <m/>
    <m/>
    <m/>
    <m/>
    <m/>
    <m/>
    <m/>
    <n v="3081.0149999999999"/>
    <m/>
    <m/>
    <m/>
  </r>
  <r>
    <x v="9"/>
    <x v="6"/>
    <m/>
    <m/>
    <m/>
    <m/>
    <m/>
    <m/>
    <m/>
    <m/>
    <m/>
    <m/>
    <m/>
    <m/>
    <m/>
    <m/>
    <m/>
    <m/>
    <m/>
    <m/>
    <m/>
    <n v="3081.0149999999999"/>
    <m/>
    <m/>
    <m/>
  </r>
  <r>
    <x v="9"/>
    <x v="7"/>
    <m/>
    <m/>
    <m/>
    <m/>
    <m/>
    <m/>
    <m/>
    <m/>
    <m/>
    <m/>
    <m/>
    <m/>
    <m/>
    <m/>
    <m/>
    <m/>
    <m/>
    <m/>
    <m/>
    <n v="19923.896999999997"/>
    <m/>
    <m/>
    <m/>
  </r>
  <r>
    <x v="10"/>
    <x v="0"/>
    <m/>
    <m/>
    <m/>
    <m/>
    <m/>
    <m/>
    <m/>
    <m/>
    <m/>
    <m/>
    <m/>
    <m/>
    <m/>
    <m/>
    <m/>
    <m/>
    <m/>
    <m/>
    <m/>
    <n v="2253.3120000000004"/>
    <m/>
    <m/>
    <m/>
  </r>
  <r>
    <x v="10"/>
    <x v="1"/>
    <m/>
    <m/>
    <m/>
    <m/>
    <m/>
    <m/>
    <m/>
    <m/>
    <m/>
    <m/>
    <m/>
    <m/>
    <m/>
    <m/>
    <m/>
    <m/>
    <m/>
    <m/>
    <m/>
    <n v="3254.7840000000001"/>
    <m/>
    <m/>
    <m/>
  </r>
  <r>
    <x v="10"/>
    <x v="2"/>
    <m/>
    <m/>
    <m/>
    <m/>
    <m/>
    <m/>
    <m/>
    <m/>
    <m/>
    <m/>
    <m/>
    <m/>
    <m/>
    <m/>
    <m/>
    <m/>
    <m/>
    <m/>
    <m/>
    <n v="3755.5200000000004"/>
    <m/>
    <m/>
    <m/>
  </r>
  <r>
    <x v="10"/>
    <x v="3"/>
    <m/>
    <m/>
    <m/>
    <m/>
    <m/>
    <m/>
    <m/>
    <m/>
    <m/>
    <m/>
    <m/>
    <m/>
    <m/>
    <m/>
    <m/>
    <m/>
    <m/>
    <m/>
    <m/>
    <n v="3755.5200000000004"/>
    <m/>
    <m/>
    <m/>
  </r>
  <r>
    <x v="10"/>
    <x v="4"/>
    <m/>
    <m/>
    <m/>
    <m/>
    <m/>
    <m/>
    <m/>
    <m/>
    <m/>
    <m/>
    <m/>
    <m/>
    <m/>
    <m/>
    <m/>
    <m/>
    <m/>
    <m/>
    <m/>
    <n v="3755.5200000000004"/>
    <m/>
    <m/>
    <m/>
  </r>
  <r>
    <x v="10"/>
    <x v="5"/>
    <m/>
    <m/>
    <m/>
    <m/>
    <m/>
    <m/>
    <m/>
    <m/>
    <m/>
    <m/>
    <m/>
    <m/>
    <m/>
    <m/>
    <m/>
    <m/>
    <m/>
    <m/>
    <m/>
    <n v="3755.5200000000004"/>
    <m/>
    <m/>
    <m/>
  </r>
  <r>
    <x v="10"/>
    <x v="6"/>
    <m/>
    <m/>
    <m/>
    <m/>
    <m/>
    <m/>
    <m/>
    <m/>
    <m/>
    <m/>
    <m/>
    <m/>
    <m/>
    <m/>
    <m/>
    <m/>
    <m/>
    <m/>
    <m/>
    <n v="3755.5200000000004"/>
    <m/>
    <m/>
    <m/>
  </r>
  <r>
    <x v="10"/>
    <x v="7"/>
    <m/>
    <m/>
    <m/>
    <m/>
    <m/>
    <m/>
    <m/>
    <m/>
    <m/>
    <m/>
    <m/>
    <m/>
    <m/>
    <m/>
    <m/>
    <m/>
    <m/>
    <m/>
    <m/>
    <n v="24285.696000000004"/>
    <m/>
    <m/>
    <m/>
  </r>
  <r>
    <x v="11"/>
    <x v="0"/>
    <m/>
    <m/>
    <m/>
    <m/>
    <m/>
    <m/>
    <m/>
    <m/>
    <m/>
    <m/>
    <m/>
    <m/>
    <m/>
    <m/>
    <m/>
    <m/>
    <m/>
    <m/>
    <m/>
    <n v="280.827"/>
    <m/>
    <m/>
    <m/>
  </r>
  <r>
    <x v="11"/>
    <x v="1"/>
    <m/>
    <m/>
    <m/>
    <m/>
    <m/>
    <m/>
    <m/>
    <m/>
    <m/>
    <m/>
    <m/>
    <m/>
    <m/>
    <m/>
    <m/>
    <m/>
    <m/>
    <m/>
    <m/>
    <n v="405.63900000000001"/>
    <m/>
    <m/>
    <m/>
  </r>
  <r>
    <x v="11"/>
    <x v="2"/>
    <m/>
    <m/>
    <m/>
    <m/>
    <m/>
    <m/>
    <m/>
    <m/>
    <m/>
    <m/>
    <m/>
    <m/>
    <m/>
    <m/>
    <m/>
    <m/>
    <m/>
    <m/>
    <m/>
    <n v="468.04500000000002"/>
    <m/>
    <m/>
    <m/>
  </r>
  <r>
    <x v="11"/>
    <x v="3"/>
    <m/>
    <m/>
    <m/>
    <m/>
    <m/>
    <m/>
    <m/>
    <m/>
    <m/>
    <m/>
    <m/>
    <m/>
    <m/>
    <m/>
    <m/>
    <m/>
    <m/>
    <m/>
    <m/>
    <n v="468.04500000000002"/>
    <m/>
    <m/>
    <m/>
  </r>
  <r>
    <x v="11"/>
    <x v="4"/>
    <m/>
    <m/>
    <m/>
    <m/>
    <m/>
    <m/>
    <m/>
    <m/>
    <m/>
    <m/>
    <m/>
    <m/>
    <m/>
    <m/>
    <m/>
    <m/>
    <m/>
    <m/>
    <m/>
    <n v="468.04500000000002"/>
    <m/>
    <m/>
    <m/>
  </r>
  <r>
    <x v="11"/>
    <x v="5"/>
    <m/>
    <m/>
    <m/>
    <m/>
    <m/>
    <m/>
    <m/>
    <m/>
    <m/>
    <m/>
    <m/>
    <m/>
    <m/>
    <m/>
    <m/>
    <m/>
    <m/>
    <m/>
    <m/>
    <n v="468.04500000000002"/>
    <m/>
    <m/>
    <m/>
  </r>
  <r>
    <x v="11"/>
    <x v="6"/>
    <m/>
    <m/>
    <m/>
    <m/>
    <m/>
    <m/>
    <m/>
    <m/>
    <m/>
    <m/>
    <m/>
    <m/>
    <m/>
    <m/>
    <m/>
    <m/>
    <m/>
    <m/>
    <m/>
    <n v="468.04500000000002"/>
    <m/>
    <m/>
    <m/>
  </r>
  <r>
    <x v="11"/>
    <x v="7"/>
    <m/>
    <m/>
    <m/>
    <m/>
    <m/>
    <m/>
    <m/>
    <m/>
    <m/>
    <m/>
    <m/>
    <m/>
    <m/>
    <m/>
    <m/>
    <m/>
    <m/>
    <m/>
    <m/>
    <n v="3026.6910000000003"/>
    <m/>
    <m/>
    <m/>
  </r>
  <r>
    <x v="12"/>
    <x v="0"/>
    <m/>
    <m/>
    <m/>
    <m/>
    <m/>
    <m/>
    <m/>
    <m/>
    <m/>
    <m/>
    <m/>
    <m/>
    <m/>
    <m/>
    <m/>
    <m/>
    <m/>
    <m/>
    <m/>
    <n v="258.79500000000002"/>
    <m/>
    <m/>
    <m/>
  </r>
  <r>
    <x v="12"/>
    <x v="1"/>
    <m/>
    <m/>
    <m/>
    <m/>
    <m/>
    <m/>
    <m/>
    <m/>
    <m/>
    <m/>
    <m/>
    <m/>
    <m/>
    <m/>
    <m/>
    <m/>
    <m/>
    <m/>
    <m/>
    <n v="373.815"/>
    <m/>
    <m/>
    <m/>
  </r>
  <r>
    <x v="12"/>
    <x v="2"/>
    <m/>
    <m/>
    <m/>
    <m/>
    <m/>
    <m/>
    <m/>
    <m/>
    <m/>
    <m/>
    <m/>
    <m/>
    <m/>
    <m/>
    <m/>
    <m/>
    <m/>
    <m/>
    <m/>
    <n v="431.32500000000005"/>
    <m/>
    <m/>
    <m/>
  </r>
  <r>
    <x v="12"/>
    <x v="3"/>
    <m/>
    <m/>
    <m/>
    <m/>
    <m/>
    <m/>
    <m/>
    <m/>
    <m/>
    <m/>
    <m/>
    <m/>
    <m/>
    <m/>
    <m/>
    <m/>
    <m/>
    <m/>
    <m/>
    <n v="431.32500000000005"/>
    <m/>
    <m/>
    <m/>
  </r>
  <r>
    <x v="12"/>
    <x v="4"/>
    <m/>
    <m/>
    <m/>
    <m/>
    <m/>
    <m/>
    <m/>
    <m/>
    <m/>
    <m/>
    <m/>
    <m/>
    <m/>
    <m/>
    <m/>
    <m/>
    <m/>
    <m/>
    <m/>
    <n v="431.32500000000005"/>
    <m/>
    <m/>
    <m/>
  </r>
  <r>
    <x v="12"/>
    <x v="5"/>
    <m/>
    <m/>
    <m/>
    <m/>
    <m/>
    <m/>
    <m/>
    <m/>
    <m/>
    <m/>
    <m/>
    <m/>
    <m/>
    <m/>
    <m/>
    <m/>
    <m/>
    <m/>
    <m/>
    <n v="431.32500000000005"/>
    <m/>
    <m/>
    <m/>
  </r>
  <r>
    <x v="12"/>
    <x v="6"/>
    <m/>
    <m/>
    <m/>
    <m/>
    <m/>
    <m/>
    <m/>
    <m/>
    <m/>
    <m/>
    <m/>
    <m/>
    <m/>
    <m/>
    <m/>
    <m/>
    <m/>
    <m/>
    <m/>
    <n v="431.32500000000005"/>
    <m/>
    <m/>
    <m/>
  </r>
  <r>
    <x v="12"/>
    <x v="7"/>
    <m/>
    <m/>
    <m/>
    <m/>
    <m/>
    <m/>
    <m/>
    <m/>
    <m/>
    <m/>
    <m/>
    <m/>
    <m/>
    <m/>
    <m/>
    <m/>
    <m/>
    <m/>
    <m/>
    <n v="2789.2349999999997"/>
    <m/>
    <m/>
    <m/>
  </r>
  <r>
    <x v="13"/>
    <x v="0"/>
    <m/>
    <m/>
    <m/>
    <m/>
    <m/>
    <m/>
    <m/>
    <m/>
    <m/>
    <m/>
    <m/>
    <m/>
    <m/>
    <m/>
    <m/>
    <m/>
    <m/>
    <m/>
    <m/>
    <n v="144.50400000000002"/>
    <m/>
    <m/>
    <m/>
  </r>
  <r>
    <x v="13"/>
    <x v="1"/>
    <m/>
    <m/>
    <m/>
    <m/>
    <m/>
    <m/>
    <m/>
    <m/>
    <m/>
    <m/>
    <m/>
    <m/>
    <m/>
    <m/>
    <m/>
    <m/>
    <m/>
    <m/>
    <m/>
    <n v="208.72800000000001"/>
    <m/>
    <m/>
    <m/>
  </r>
  <r>
    <x v="13"/>
    <x v="2"/>
    <m/>
    <m/>
    <m/>
    <m/>
    <m/>
    <m/>
    <m/>
    <m/>
    <m/>
    <m/>
    <m/>
    <m/>
    <m/>
    <m/>
    <m/>
    <m/>
    <m/>
    <m/>
    <m/>
    <n v="240.84000000000003"/>
    <m/>
    <m/>
    <m/>
  </r>
  <r>
    <x v="13"/>
    <x v="3"/>
    <m/>
    <m/>
    <m/>
    <m/>
    <m/>
    <m/>
    <m/>
    <m/>
    <m/>
    <m/>
    <m/>
    <m/>
    <m/>
    <m/>
    <m/>
    <m/>
    <m/>
    <m/>
    <m/>
    <n v="240.84000000000003"/>
    <m/>
    <m/>
    <m/>
  </r>
  <r>
    <x v="13"/>
    <x v="4"/>
    <m/>
    <m/>
    <m/>
    <m/>
    <m/>
    <m/>
    <m/>
    <m/>
    <m/>
    <m/>
    <m/>
    <m/>
    <m/>
    <m/>
    <m/>
    <m/>
    <m/>
    <m/>
    <m/>
    <n v="240.84000000000003"/>
    <m/>
    <m/>
    <m/>
  </r>
  <r>
    <x v="13"/>
    <x v="5"/>
    <m/>
    <m/>
    <m/>
    <m/>
    <m/>
    <m/>
    <m/>
    <m/>
    <m/>
    <m/>
    <m/>
    <m/>
    <m/>
    <m/>
    <m/>
    <m/>
    <m/>
    <m/>
    <m/>
    <n v="240.84000000000003"/>
    <m/>
    <m/>
    <m/>
  </r>
  <r>
    <x v="13"/>
    <x v="6"/>
    <m/>
    <m/>
    <m/>
    <m/>
    <m/>
    <m/>
    <m/>
    <m/>
    <m/>
    <m/>
    <m/>
    <m/>
    <m/>
    <m/>
    <m/>
    <m/>
    <m/>
    <m/>
    <m/>
    <n v="240.84000000000003"/>
    <m/>
    <m/>
    <m/>
  </r>
  <r>
    <x v="13"/>
    <x v="7"/>
    <m/>
    <m/>
    <m/>
    <m/>
    <m/>
    <m/>
    <m/>
    <m/>
    <m/>
    <m/>
    <m/>
    <m/>
    <m/>
    <m/>
    <m/>
    <m/>
    <m/>
    <m/>
    <m/>
    <n v="1557.4320000000002"/>
    <m/>
    <m/>
    <m/>
  </r>
  <r>
    <x v="14"/>
    <x v="0"/>
    <m/>
    <m/>
    <m/>
    <m/>
    <m/>
    <m/>
    <m/>
    <m/>
    <m/>
    <m/>
    <m/>
    <m/>
    <m/>
    <m/>
    <m/>
    <m/>
    <m/>
    <m/>
    <m/>
    <n v="1592.2169999999999"/>
    <m/>
    <m/>
    <m/>
  </r>
  <r>
    <x v="14"/>
    <x v="1"/>
    <m/>
    <m/>
    <m/>
    <m/>
    <m/>
    <m/>
    <m/>
    <m/>
    <m/>
    <m/>
    <m/>
    <m/>
    <m/>
    <m/>
    <m/>
    <m/>
    <m/>
    <m/>
    <m/>
    <n v="2299.8689999999997"/>
    <m/>
    <m/>
    <m/>
  </r>
  <r>
    <x v="14"/>
    <x v="2"/>
    <m/>
    <m/>
    <m/>
    <m/>
    <m/>
    <m/>
    <m/>
    <m/>
    <m/>
    <m/>
    <m/>
    <m/>
    <m/>
    <m/>
    <m/>
    <m/>
    <m/>
    <m/>
    <m/>
    <n v="2653.6949999999997"/>
    <m/>
    <m/>
    <m/>
  </r>
  <r>
    <x v="14"/>
    <x v="3"/>
    <m/>
    <m/>
    <m/>
    <m/>
    <m/>
    <m/>
    <m/>
    <m/>
    <m/>
    <m/>
    <m/>
    <m/>
    <m/>
    <m/>
    <m/>
    <m/>
    <m/>
    <m/>
    <m/>
    <n v="2653.6949999999997"/>
    <m/>
    <m/>
    <m/>
  </r>
  <r>
    <x v="14"/>
    <x v="4"/>
    <m/>
    <m/>
    <m/>
    <m/>
    <m/>
    <m/>
    <m/>
    <m/>
    <m/>
    <m/>
    <m/>
    <m/>
    <m/>
    <m/>
    <m/>
    <m/>
    <m/>
    <m/>
    <m/>
    <n v="2653.6949999999997"/>
    <m/>
    <m/>
    <m/>
  </r>
  <r>
    <x v="14"/>
    <x v="5"/>
    <m/>
    <m/>
    <m/>
    <m/>
    <m/>
    <m/>
    <m/>
    <m/>
    <m/>
    <m/>
    <m/>
    <m/>
    <m/>
    <m/>
    <m/>
    <m/>
    <m/>
    <m/>
    <m/>
    <n v="2653.6949999999997"/>
    <m/>
    <m/>
    <m/>
  </r>
  <r>
    <x v="14"/>
    <x v="6"/>
    <m/>
    <m/>
    <m/>
    <m/>
    <m/>
    <m/>
    <m/>
    <m/>
    <m/>
    <m/>
    <m/>
    <m/>
    <m/>
    <m/>
    <m/>
    <m/>
    <m/>
    <m/>
    <m/>
    <n v="2653.6949999999997"/>
    <m/>
    <m/>
    <m/>
  </r>
  <r>
    <x v="14"/>
    <x v="7"/>
    <m/>
    <m/>
    <m/>
    <m/>
    <m/>
    <m/>
    <m/>
    <m/>
    <m/>
    <m/>
    <m/>
    <m/>
    <m/>
    <m/>
    <m/>
    <m/>
    <m/>
    <m/>
    <m/>
    <n v="17160.560999999998"/>
    <m/>
    <m/>
    <m/>
  </r>
  <r>
    <x v="15"/>
    <x v="0"/>
    <m/>
    <m/>
    <m/>
    <m/>
    <m/>
    <m/>
    <m/>
    <m/>
    <m/>
    <m/>
    <m/>
    <m/>
    <m/>
    <m/>
    <m/>
    <m/>
    <m/>
    <m/>
    <m/>
    <n v="50.625"/>
    <m/>
    <m/>
    <m/>
  </r>
  <r>
    <x v="15"/>
    <x v="1"/>
    <m/>
    <m/>
    <m/>
    <m/>
    <m/>
    <m/>
    <m/>
    <m/>
    <m/>
    <m/>
    <m/>
    <m/>
    <m/>
    <m/>
    <m/>
    <m/>
    <m/>
    <m/>
    <m/>
    <n v="73.125"/>
    <m/>
    <m/>
    <m/>
  </r>
  <r>
    <x v="15"/>
    <x v="2"/>
    <m/>
    <m/>
    <m/>
    <m/>
    <m/>
    <m/>
    <m/>
    <m/>
    <m/>
    <m/>
    <m/>
    <m/>
    <m/>
    <m/>
    <m/>
    <m/>
    <m/>
    <m/>
    <m/>
    <n v="84.375"/>
    <m/>
    <m/>
    <m/>
  </r>
  <r>
    <x v="15"/>
    <x v="3"/>
    <m/>
    <m/>
    <m/>
    <m/>
    <m/>
    <m/>
    <m/>
    <m/>
    <m/>
    <m/>
    <m/>
    <m/>
    <m/>
    <m/>
    <m/>
    <m/>
    <m/>
    <m/>
    <m/>
    <n v="84.375"/>
    <m/>
    <m/>
    <m/>
  </r>
  <r>
    <x v="15"/>
    <x v="4"/>
    <m/>
    <m/>
    <m/>
    <m/>
    <m/>
    <m/>
    <m/>
    <m/>
    <m/>
    <m/>
    <m/>
    <m/>
    <m/>
    <m/>
    <m/>
    <m/>
    <m/>
    <m/>
    <m/>
    <n v="84.375"/>
    <m/>
    <m/>
    <m/>
  </r>
  <r>
    <x v="15"/>
    <x v="5"/>
    <m/>
    <m/>
    <m/>
    <m/>
    <m/>
    <m/>
    <m/>
    <m/>
    <m/>
    <m/>
    <m/>
    <m/>
    <m/>
    <m/>
    <m/>
    <m/>
    <m/>
    <m/>
    <m/>
    <n v="84.375"/>
    <m/>
    <m/>
    <m/>
  </r>
  <r>
    <x v="15"/>
    <x v="6"/>
    <m/>
    <m/>
    <m/>
    <m/>
    <m/>
    <m/>
    <m/>
    <m/>
    <m/>
    <m/>
    <m/>
    <m/>
    <m/>
    <m/>
    <m/>
    <m/>
    <m/>
    <m/>
    <m/>
    <n v="84.375"/>
    <m/>
    <m/>
    <m/>
  </r>
  <r>
    <x v="15"/>
    <x v="7"/>
    <m/>
    <m/>
    <m/>
    <m/>
    <m/>
    <m/>
    <m/>
    <m/>
    <m/>
    <m/>
    <m/>
    <m/>
    <m/>
    <m/>
    <m/>
    <m/>
    <m/>
    <m/>
    <m/>
    <n v="545.625"/>
    <m/>
    <m/>
    <m/>
  </r>
  <r>
    <x v="16"/>
    <x v="0"/>
    <m/>
    <m/>
    <m/>
    <m/>
    <m/>
    <m/>
    <m/>
    <m/>
    <m/>
    <m/>
    <m/>
    <m/>
    <m/>
    <m/>
    <m/>
    <m/>
    <m/>
    <m/>
    <m/>
    <n v="77.921999999999997"/>
    <m/>
    <m/>
    <m/>
  </r>
  <r>
    <x v="16"/>
    <x v="1"/>
    <m/>
    <m/>
    <m/>
    <m/>
    <m/>
    <m/>
    <m/>
    <m/>
    <m/>
    <m/>
    <m/>
    <m/>
    <m/>
    <m/>
    <m/>
    <m/>
    <m/>
    <m/>
    <m/>
    <n v="112.554"/>
    <m/>
    <m/>
    <m/>
  </r>
  <r>
    <x v="16"/>
    <x v="2"/>
    <m/>
    <m/>
    <m/>
    <m/>
    <m/>
    <m/>
    <m/>
    <m/>
    <m/>
    <m/>
    <m/>
    <m/>
    <m/>
    <m/>
    <m/>
    <m/>
    <m/>
    <m/>
    <m/>
    <n v="129.87"/>
    <m/>
    <m/>
    <m/>
  </r>
  <r>
    <x v="16"/>
    <x v="3"/>
    <m/>
    <m/>
    <m/>
    <m/>
    <m/>
    <m/>
    <m/>
    <m/>
    <m/>
    <m/>
    <m/>
    <m/>
    <m/>
    <m/>
    <m/>
    <m/>
    <m/>
    <m/>
    <m/>
    <n v="129.87"/>
    <m/>
    <m/>
    <m/>
  </r>
  <r>
    <x v="16"/>
    <x v="4"/>
    <m/>
    <m/>
    <m/>
    <m/>
    <m/>
    <m/>
    <m/>
    <m/>
    <m/>
    <m/>
    <m/>
    <m/>
    <m/>
    <m/>
    <m/>
    <m/>
    <m/>
    <m/>
    <m/>
    <n v="129.87"/>
    <m/>
    <m/>
    <m/>
  </r>
  <r>
    <x v="16"/>
    <x v="5"/>
    <m/>
    <m/>
    <m/>
    <m/>
    <m/>
    <m/>
    <m/>
    <m/>
    <m/>
    <m/>
    <m/>
    <m/>
    <m/>
    <m/>
    <m/>
    <m/>
    <m/>
    <m/>
    <m/>
    <n v="129.87"/>
    <m/>
    <m/>
    <m/>
  </r>
  <r>
    <x v="16"/>
    <x v="6"/>
    <m/>
    <m/>
    <m/>
    <m/>
    <m/>
    <m/>
    <m/>
    <m/>
    <m/>
    <m/>
    <m/>
    <m/>
    <m/>
    <m/>
    <m/>
    <m/>
    <m/>
    <m/>
    <m/>
    <n v="129.87"/>
    <m/>
    <m/>
    <m/>
  </r>
  <r>
    <x v="16"/>
    <x v="7"/>
    <m/>
    <m/>
    <m/>
    <m/>
    <m/>
    <m/>
    <m/>
    <m/>
    <m/>
    <m/>
    <m/>
    <m/>
    <m/>
    <m/>
    <m/>
    <m/>
    <m/>
    <m/>
    <m/>
    <n v="839.82600000000002"/>
    <m/>
    <m/>
    <m/>
  </r>
  <r>
    <x v="17"/>
    <x v="0"/>
    <m/>
    <m/>
    <m/>
    <m/>
    <m/>
    <m/>
    <m/>
    <m/>
    <m/>
    <m/>
    <m/>
    <m/>
    <m/>
    <m/>
    <m/>
    <m/>
    <m/>
    <m/>
    <m/>
    <n v="17.847000000000001"/>
    <m/>
    <m/>
    <m/>
  </r>
  <r>
    <x v="17"/>
    <x v="1"/>
    <m/>
    <m/>
    <m/>
    <m/>
    <m/>
    <m/>
    <m/>
    <m/>
    <m/>
    <m/>
    <m/>
    <m/>
    <m/>
    <m/>
    <m/>
    <m/>
    <m/>
    <m/>
    <m/>
    <n v="25.779"/>
    <m/>
    <m/>
    <m/>
  </r>
  <r>
    <x v="17"/>
    <x v="2"/>
    <m/>
    <m/>
    <m/>
    <m/>
    <m/>
    <m/>
    <m/>
    <m/>
    <m/>
    <m/>
    <m/>
    <m/>
    <m/>
    <m/>
    <m/>
    <m/>
    <m/>
    <m/>
    <m/>
    <n v="29.745000000000001"/>
    <m/>
    <m/>
    <m/>
  </r>
  <r>
    <x v="17"/>
    <x v="3"/>
    <m/>
    <m/>
    <m/>
    <m/>
    <m/>
    <m/>
    <m/>
    <m/>
    <m/>
    <m/>
    <m/>
    <m/>
    <m/>
    <m/>
    <m/>
    <m/>
    <m/>
    <m/>
    <m/>
    <n v="29.745000000000001"/>
    <m/>
    <m/>
    <m/>
  </r>
  <r>
    <x v="17"/>
    <x v="4"/>
    <m/>
    <m/>
    <m/>
    <m/>
    <m/>
    <m/>
    <m/>
    <m/>
    <m/>
    <m/>
    <m/>
    <m/>
    <m/>
    <m/>
    <m/>
    <m/>
    <m/>
    <m/>
    <m/>
    <n v="29.745000000000001"/>
    <m/>
    <m/>
    <m/>
  </r>
  <r>
    <x v="17"/>
    <x v="5"/>
    <m/>
    <m/>
    <m/>
    <m/>
    <m/>
    <m/>
    <m/>
    <m/>
    <m/>
    <m/>
    <m/>
    <m/>
    <m/>
    <m/>
    <m/>
    <m/>
    <m/>
    <m/>
    <m/>
    <n v="29.745000000000001"/>
    <m/>
    <m/>
    <m/>
  </r>
  <r>
    <x v="17"/>
    <x v="6"/>
    <m/>
    <m/>
    <m/>
    <m/>
    <m/>
    <m/>
    <m/>
    <m/>
    <m/>
    <m/>
    <m/>
    <m/>
    <m/>
    <m/>
    <m/>
    <m/>
    <m/>
    <m/>
    <m/>
    <n v="29.745000000000001"/>
    <m/>
    <m/>
    <m/>
  </r>
  <r>
    <x v="17"/>
    <x v="7"/>
    <m/>
    <m/>
    <m/>
    <m/>
    <m/>
    <m/>
    <m/>
    <m/>
    <m/>
    <m/>
    <m/>
    <m/>
    <m/>
    <m/>
    <m/>
    <m/>
    <m/>
    <m/>
    <m/>
    <n v="192.35100000000003"/>
    <m/>
    <m/>
    <m/>
  </r>
  <r>
    <x v="18"/>
    <x v="0"/>
    <m/>
    <m/>
    <m/>
    <m/>
    <m/>
    <m/>
    <m/>
    <m/>
    <m/>
    <m/>
    <m/>
    <m/>
    <m/>
    <m/>
    <m/>
    <m/>
    <m/>
    <m/>
    <m/>
    <n v="15.200999999999999"/>
    <m/>
    <m/>
    <m/>
  </r>
  <r>
    <x v="18"/>
    <x v="1"/>
    <m/>
    <m/>
    <m/>
    <m/>
    <m/>
    <m/>
    <m/>
    <m/>
    <m/>
    <m/>
    <m/>
    <m/>
    <m/>
    <m/>
    <m/>
    <m/>
    <m/>
    <m/>
    <m/>
    <n v="21.956999999999997"/>
    <m/>
    <m/>
    <m/>
  </r>
  <r>
    <x v="18"/>
    <x v="2"/>
    <m/>
    <m/>
    <m/>
    <m/>
    <m/>
    <m/>
    <m/>
    <m/>
    <m/>
    <m/>
    <m/>
    <m/>
    <m/>
    <m/>
    <m/>
    <m/>
    <m/>
    <m/>
    <m/>
    <n v="25.334999999999997"/>
    <m/>
    <m/>
    <m/>
  </r>
  <r>
    <x v="18"/>
    <x v="3"/>
    <m/>
    <m/>
    <m/>
    <m/>
    <m/>
    <m/>
    <m/>
    <m/>
    <m/>
    <m/>
    <m/>
    <m/>
    <m/>
    <m/>
    <m/>
    <m/>
    <m/>
    <m/>
    <m/>
    <n v="25.334999999999997"/>
    <m/>
    <m/>
    <m/>
  </r>
  <r>
    <x v="18"/>
    <x v="4"/>
    <m/>
    <m/>
    <m/>
    <m/>
    <m/>
    <m/>
    <m/>
    <m/>
    <m/>
    <m/>
    <m/>
    <m/>
    <m/>
    <m/>
    <m/>
    <m/>
    <m/>
    <m/>
    <m/>
    <n v="25.334999999999997"/>
    <m/>
    <m/>
    <m/>
  </r>
  <r>
    <x v="18"/>
    <x v="5"/>
    <m/>
    <m/>
    <m/>
    <m/>
    <m/>
    <m/>
    <m/>
    <m/>
    <m/>
    <m/>
    <m/>
    <m/>
    <m/>
    <m/>
    <m/>
    <m/>
    <m/>
    <m/>
    <m/>
    <n v="25.334999999999997"/>
    <m/>
    <m/>
    <m/>
  </r>
  <r>
    <x v="18"/>
    <x v="6"/>
    <m/>
    <m/>
    <m/>
    <m/>
    <m/>
    <m/>
    <m/>
    <m/>
    <m/>
    <m/>
    <m/>
    <m/>
    <m/>
    <m/>
    <m/>
    <m/>
    <m/>
    <m/>
    <m/>
    <n v="25.334999999999997"/>
    <m/>
    <m/>
    <m/>
  </r>
  <r>
    <x v="18"/>
    <x v="7"/>
    <m/>
    <m/>
    <m/>
    <m/>
    <m/>
    <m/>
    <m/>
    <m/>
    <m/>
    <m/>
    <m/>
    <m/>
    <m/>
    <m/>
    <m/>
    <m/>
    <m/>
    <m/>
    <m/>
    <n v="163.833"/>
    <m/>
    <m/>
    <m/>
  </r>
  <r>
    <x v="19"/>
    <x v="0"/>
    <m/>
    <m/>
    <m/>
    <m/>
    <m/>
    <m/>
    <m/>
    <m/>
    <m/>
    <m/>
    <m/>
    <m/>
    <m/>
    <m/>
    <m/>
    <m/>
    <m/>
    <m/>
    <m/>
    <n v="484.46100000000001"/>
    <m/>
    <m/>
    <m/>
  </r>
  <r>
    <x v="19"/>
    <x v="1"/>
    <m/>
    <m/>
    <m/>
    <m/>
    <m/>
    <m/>
    <m/>
    <m/>
    <m/>
    <m/>
    <m/>
    <m/>
    <m/>
    <m/>
    <m/>
    <m/>
    <m/>
    <m/>
    <m/>
    <n v="699.77700000000004"/>
    <m/>
    <m/>
    <m/>
  </r>
  <r>
    <x v="19"/>
    <x v="2"/>
    <m/>
    <m/>
    <m/>
    <m/>
    <m/>
    <m/>
    <m/>
    <m/>
    <m/>
    <m/>
    <m/>
    <m/>
    <m/>
    <m/>
    <m/>
    <m/>
    <m/>
    <m/>
    <m/>
    <n v="807.43500000000006"/>
    <m/>
    <m/>
    <m/>
  </r>
  <r>
    <x v="19"/>
    <x v="3"/>
    <m/>
    <m/>
    <m/>
    <m/>
    <m/>
    <m/>
    <m/>
    <m/>
    <m/>
    <m/>
    <m/>
    <m/>
    <m/>
    <m/>
    <m/>
    <m/>
    <m/>
    <m/>
    <m/>
    <n v="807.43500000000006"/>
    <m/>
    <m/>
    <m/>
  </r>
  <r>
    <x v="19"/>
    <x v="4"/>
    <m/>
    <m/>
    <m/>
    <m/>
    <m/>
    <m/>
    <m/>
    <m/>
    <m/>
    <m/>
    <m/>
    <m/>
    <m/>
    <m/>
    <m/>
    <m/>
    <m/>
    <m/>
    <m/>
    <n v="807.43500000000006"/>
    <m/>
    <m/>
    <m/>
  </r>
  <r>
    <x v="19"/>
    <x v="5"/>
    <m/>
    <m/>
    <m/>
    <m/>
    <m/>
    <m/>
    <m/>
    <m/>
    <m/>
    <m/>
    <m/>
    <m/>
    <m/>
    <m/>
    <m/>
    <m/>
    <m/>
    <m/>
    <m/>
    <n v="807.43500000000006"/>
    <m/>
    <m/>
    <m/>
  </r>
  <r>
    <x v="19"/>
    <x v="6"/>
    <m/>
    <m/>
    <m/>
    <m/>
    <m/>
    <m/>
    <m/>
    <m/>
    <m/>
    <m/>
    <m/>
    <m/>
    <m/>
    <m/>
    <m/>
    <m/>
    <m/>
    <m/>
    <m/>
    <n v="807.43500000000006"/>
    <m/>
    <m/>
    <m/>
  </r>
  <r>
    <x v="19"/>
    <x v="7"/>
    <m/>
    <m/>
    <m/>
    <m/>
    <m/>
    <m/>
    <m/>
    <m/>
    <m/>
    <m/>
    <m/>
    <m/>
    <m/>
    <m/>
    <m/>
    <m/>
    <m/>
    <m/>
    <m/>
    <n v="5221.4130000000005"/>
    <m/>
    <m/>
    <m/>
  </r>
  <r>
    <x v="20"/>
    <x v="0"/>
    <m/>
    <m/>
    <m/>
    <m/>
    <m/>
    <m/>
    <m/>
    <m/>
    <m/>
    <m/>
    <m/>
    <m/>
    <m/>
    <m/>
    <m/>
    <m/>
    <m/>
    <m/>
    <m/>
    <n v="988.76700000000005"/>
    <m/>
    <m/>
    <m/>
  </r>
  <r>
    <x v="20"/>
    <x v="1"/>
    <m/>
    <m/>
    <m/>
    <m/>
    <m/>
    <m/>
    <m/>
    <m/>
    <m/>
    <m/>
    <m/>
    <m/>
    <m/>
    <m/>
    <m/>
    <m/>
    <m/>
    <m/>
    <m/>
    <n v="1428.2190000000001"/>
    <m/>
    <m/>
    <m/>
  </r>
  <r>
    <x v="20"/>
    <x v="2"/>
    <m/>
    <m/>
    <m/>
    <m/>
    <m/>
    <m/>
    <m/>
    <m/>
    <m/>
    <m/>
    <m/>
    <m/>
    <m/>
    <m/>
    <m/>
    <m/>
    <m/>
    <m/>
    <m/>
    <n v="1647.9450000000002"/>
    <m/>
    <m/>
    <m/>
  </r>
  <r>
    <x v="20"/>
    <x v="3"/>
    <m/>
    <m/>
    <m/>
    <m/>
    <m/>
    <m/>
    <m/>
    <m/>
    <m/>
    <m/>
    <m/>
    <m/>
    <m/>
    <m/>
    <m/>
    <m/>
    <m/>
    <m/>
    <m/>
    <n v="1647.9450000000002"/>
    <m/>
    <m/>
    <m/>
  </r>
  <r>
    <x v="20"/>
    <x v="4"/>
    <m/>
    <m/>
    <m/>
    <m/>
    <m/>
    <m/>
    <m/>
    <m/>
    <m/>
    <m/>
    <m/>
    <m/>
    <m/>
    <m/>
    <m/>
    <m/>
    <m/>
    <m/>
    <m/>
    <n v="1647.9450000000002"/>
    <m/>
    <m/>
    <m/>
  </r>
  <r>
    <x v="20"/>
    <x v="5"/>
    <m/>
    <m/>
    <m/>
    <m/>
    <m/>
    <m/>
    <m/>
    <m/>
    <m/>
    <m/>
    <m/>
    <m/>
    <m/>
    <m/>
    <m/>
    <m/>
    <m/>
    <m/>
    <m/>
    <n v="1647.9450000000002"/>
    <m/>
    <m/>
    <m/>
  </r>
  <r>
    <x v="20"/>
    <x v="6"/>
    <m/>
    <m/>
    <m/>
    <m/>
    <m/>
    <m/>
    <m/>
    <m/>
    <m/>
    <m/>
    <m/>
    <m/>
    <m/>
    <m/>
    <m/>
    <m/>
    <m/>
    <m/>
    <m/>
    <n v="1647.9450000000002"/>
    <m/>
    <m/>
    <m/>
  </r>
  <r>
    <x v="20"/>
    <x v="7"/>
    <m/>
    <m/>
    <m/>
    <m/>
    <m/>
    <m/>
    <m/>
    <m/>
    <m/>
    <m/>
    <m/>
    <m/>
    <m/>
    <m/>
    <m/>
    <m/>
    <m/>
    <m/>
    <m/>
    <n v="10656.710999999999"/>
    <m/>
    <m/>
    <m/>
  </r>
  <r>
    <x v="21"/>
    <x v="0"/>
    <m/>
    <m/>
    <m/>
    <m/>
    <m/>
    <m/>
    <m/>
    <m/>
    <m/>
    <m/>
    <m/>
    <m/>
    <m/>
    <m/>
    <m/>
    <m/>
    <m/>
    <m/>
    <m/>
    <n v="287.28000000000003"/>
    <m/>
    <m/>
    <m/>
  </r>
  <r>
    <x v="21"/>
    <x v="1"/>
    <m/>
    <m/>
    <m/>
    <m/>
    <m/>
    <m/>
    <m/>
    <m/>
    <m/>
    <m/>
    <m/>
    <m/>
    <m/>
    <m/>
    <m/>
    <m/>
    <m/>
    <m/>
    <m/>
    <n v="414.96000000000004"/>
    <m/>
    <m/>
    <m/>
  </r>
  <r>
    <x v="21"/>
    <x v="2"/>
    <m/>
    <m/>
    <m/>
    <m/>
    <m/>
    <m/>
    <m/>
    <m/>
    <m/>
    <m/>
    <m/>
    <m/>
    <m/>
    <m/>
    <m/>
    <m/>
    <m/>
    <m/>
    <m/>
    <n v="478.8"/>
    <m/>
    <m/>
    <m/>
  </r>
  <r>
    <x v="21"/>
    <x v="3"/>
    <m/>
    <m/>
    <m/>
    <m/>
    <m/>
    <m/>
    <m/>
    <m/>
    <m/>
    <m/>
    <m/>
    <m/>
    <m/>
    <m/>
    <m/>
    <m/>
    <m/>
    <m/>
    <m/>
    <n v="478.8"/>
    <m/>
    <m/>
    <m/>
  </r>
  <r>
    <x v="21"/>
    <x v="4"/>
    <m/>
    <m/>
    <m/>
    <m/>
    <m/>
    <m/>
    <m/>
    <m/>
    <m/>
    <m/>
    <m/>
    <m/>
    <m/>
    <m/>
    <m/>
    <m/>
    <m/>
    <m/>
    <m/>
    <n v="478.8"/>
    <m/>
    <m/>
    <m/>
  </r>
  <r>
    <x v="21"/>
    <x v="5"/>
    <m/>
    <m/>
    <m/>
    <m/>
    <m/>
    <m/>
    <m/>
    <m/>
    <m/>
    <m/>
    <m/>
    <m/>
    <m/>
    <m/>
    <m/>
    <m/>
    <m/>
    <m/>
    <m/>
    <n v="478.8"/>
    <m/>
    <m/>
    <m/>
  </r>
  <r>
    <x v="21"/>
    <x v="6"/>
    <m/>
    <m/>
    <m/>
    <m/>
    <m/>
    <m/>
    <m/>
    <m/>
    <m/>
    <m/>
    <m/>
    <m/>
    <m/>
    <m/>
    <m/>
    <m/>
    <m/>
    <m/>
    <m/>
    <n v="478.8"/>
    <m/>
    <m/>
    <m/>
  </r>
  <r>
    <x v="21"/>
    <x v="7"/>
    <m/>
    <m/>
    <m/>
    <m/>
    <m/>
    <m/>
    <m/>
    <m/>
    <m/>
    <m/>
    <m/>
    <m/>
    <m/>
    <m/>
    <m/>
    <m/>
    <m/>
    <m/>
    <m/>
    <n v="3096.2400000000002"/>
    <m/>
    <m/>
    <m/>
  </r>
  <r>
    <x v="22"/>
    <x v="0"/>
    <m/>
    <m/>
    <m/>
    <m/>
    <m/>
    <m/>
    <m/>
    <m/>
    <m/>
    <m/>
    <m/>
    <m/>
    <m/>
    <m/>
    <m/>
    <m/>
    <m/>
    <m/>
    <m/>
    <n v="514.83600000000001"/>
    <m/>
    <m/>
    <m/>
  </r>
  <r>
    <x v="22"/>
    <x v="1"/>
    <m/>
    <m/>
    <m/>
    <m/>
    <m/>
    <m/>
    <m/>
    <m/>
    <m/>
    <m/>
    <m/>
    <m/>
    <m/>
    <m/>
    <m/>
    <m/>
    <m/>
    <m/>
    <m/>
    <n v="743.65200000000004"/>
    <m/>
    <m/>
    <m/>
  </r>
  <r>
    <x v="22"/>
    <x v="2"/>
    <m/>
    <m/>
    <m/>
    <m/>
    <m/>
    <m/>
    <m/>
    <m/>
    <m/>
    <m/>
    <m/>
    <m/>
    <m/>
    <m/>
    <m/>
    <m/>
    <m/>
    <m/>
    <m/>
    <n v="858.06000000000006"/>
    <m/>
    <m/>
    <m/>
  </r>
  <r>
    <x v="22"/>
    <x v="3"/>
    <m/>
    <m/>
    <m/>
    <m/>
    <m/>
    <m/>
    <m/>
    <m/>
    <m/>
    <m/>
    <m/>
    <m/>
    <m/>
    <m/>
    <m/>
    <m/>
    <m/>
    <m/>
    <m/>
    <n v="858.06000000000006"/>
    <m/>
    <m/>
    <m/>
  </r>
  <r>
    <x v="22"/>
    <x v="4"/>
    <m/>
    <m/>
    <m/>
    <m/>
    <m/>
    <m/>
    <m/>
    <m/>
    <m/>
    <m/>
    <m/>
    <m/>
    <m/>
    <m/>
    <m/>
    <m/>
    <m/>
    <m/>
    <m/>
    <n v="858.06000000000006"/>
    <m/>
    <m/>
    <m/>
  </r>
  <r>
    <x v="22"/>
    <x v="5"/>
    <m/>
    <m/>
    <m/>
    <m/>
    <m/>
    <m/>
    <m/>
    <m/>
    <m/>
    <m/>
    <m/>
    <m/>
    <m/>
    <m/>
    <m/>
    <m/>
    <m/>
    <m/>
    <m/>
    <n v="858.06000000000006"/>
    <m/>
    <m/>
    <m/>
  </r>
  <r>
    <x v="22"/>
    <x v="6"/>
    <m/>
    <m/>
    <m/>
    <m/>
    <m/>
    <m/>
    <m/>
    <m/>
    <m/>
    <m/>
    <m/>
    <m/>
    <m/>
    <m/>
    <m/>
    <m/>
    <m/>
    <m/>
    <m/>
    <n v="858.06000000000006"/>
    <m/>
    <m/>
    <m/>
  </r>
  <r>
    <x v="22"/>
    <x v="7"/>
    <m/>
    <m/>
    <m/>
    <m/>
    <m/>
    <m/>
    <m/>
    <m/>
    <m/>
    <m/>
    <m/>
    <m/>
    <m/>
    <m/>
    <m/>
    <m/>
    <m/>
    <m/>
    <m/>
    <n v="5548.7880000000005"/>
    <m/>
    <m/>
    <m/>
  </r>
  <r>
    <x v="23"/>
    <x v="0"/>
    <m/>
    <m/>
    <m/>
    <m/>
    <m/>
    <m/>
    <m/>
    <m/>
    <m/>
    <m/>
    <m/>
    <m/>
    <m/>
    <m/>
    <m/>
    <m/>
    <m/>
    <m/>
    <m/>
    <n v="146.47499999999999"/>
    <m/>
    <m/>
    <m/>
  </r>
  <r>
    <x v="23"/>
    <x v="1"/>
    <m/>
    <m/>
    <m/>
    <m/>
    <m/>
    <m/>
    <m/>
    <m/>
    <m/>
    <m/>
    <m/>
    <m/>
    <m/>
    <m/>
    <m/>
    <m/>
    <m/>
    <m/>
    <m/>
    <n v="211.57499999999999"/>
    <m/>
    <m/>
    <m/>
  </r>
  <r>
    <x v="23"/>
    <x v="2"/>
    <m/>
    <m/>
    <m/>
    <m/>
    <m/>
    <m/>
    <m/>
    <m/>
    <m/>
    <m/>
    <m/>
    <m/>
    <m/>
    <m/>
    <m/>
    <m/>
    <m/>
    <m/>
    <m/>
    <n v="244.125"/>
    <m/>
    <m/>
    <m/>
  </r>
  <r>
    <x v="23"/>
    <x v="3"/>
    <m/>
    <m/>
    <m/>
    <m/>
    <m/>
    <m/>
    <m/>
    <m/>
    <m/>
    <m/>
    <m/>
    <m/>
    <m/>
    <m/>
    <m/>
    <m/>
    <m/>
    <m/>
    <m/>
    <n v="244.125"/>
    <m/>
    <m/>
    <m/>
  </r>
  <r>
    <x v="23"/>
    <x v="4"/>
    <m/>
    <m/>
    <m/>
    <m/>
    <m/>
    <m/>
    <m/>
    <m/>
    <m/>
    <m/>
    <m/>
    <m/>
    <m/>
    <m/>
    <m/>
    <m/>
    <m/>
    <m/>
    <m/>
    <n v="244.125"/>
    <m/>
    <m/>
    <m/>
  </r>
  <r>
    <x v="23"/>
    <x v="5"/>
    <m/>
    <m/>
    <m/>
    <m/>
    <m/>
    <m/>
    <m/>
    <m/>
    <m/>
    <m/>
    <m/>
    <m/>
    <m/>
    <m/>
    <m/>
    <m/>
    <m/>
    <m/>
    <m/>
    <n v="244.125"/>
    <m/>
    <m/>
    <m/>
  </r>
  <r>
    <x v="23"/>
    <x v="6"/>
    <m/>
    <m/>
    <m/>
    <m/>
    <m/>
    <m/>
    <m/>
    <m/>
    <m/>
    <m/>
    <m/>
    <m/>
    <m/>
    <m/>
    <m/>
    <m/>
    <m/>
    <m/>
    <m/>
    <n v="244.125"/>
    <m/>
    <m/>
    <m/>
  </r>
  <r>
    <x v="23"/>
    <x v="7"/>
    <m/>
    <m/>
    <m/>
    <m/>
    <m/>
    <m/>
    <m/>
    <m/>
    <m/>
    <m/>
    <m/>
    <m/>
    <m/>
    <m/>
    <m/>
    <m/>
    <m/>
    <m/>
    <m/>
    <n v="1578.675"/>
    <m/>
    <m/>
    <m/>
  </r>
  <r>
    <x v="24"/>
    <x v="0"/>
    <m/>
    <m/>
    <m/>
    <m/>
    <m/>
    <m/>
    <m/>
    <m/>
    <m/>
    <m/>
    <m/>
    <m/>
    <m/>
    <m/>
    <m/>
    <m/>
    <m/>
    <m/>
    <m/>
    <n v="57.348000000000006"/>
    <m/>
    <m/>
    <m/>
  </r>
  <r>
    <x v="24"/>
    <x v="1"/>
    <m/>
    <m/>
    <m/>
    <m/>
    <m/>
    <m/>
    <m/>
    <m/>
    <m/>
    <m/>
    <m/>
    <m/>
    <m/>
    <m/>
    <m/>
    <m/>
    <m/>
    <m/>
    <m/>
    <n v="82.836000000000013"/>
    <m/>
    <m/>
    <m/>
  </r>
  <r>
    <x v="24"/>
    <x v="2"/>
    <m/>
    <m/>
    <m/>
    <m/>
    <m/>
    <m/>
    <m/>
    <m/>
    <m/>
    <m/>
    <m/>
    <m/>
    <m/>
    <m/>
    <m/>
    <m/>
    <m/>
    <m/>
    <m/>
    <n v="95.580000000000013"/>
    <m/>
    <m/>
    <m/>
  </r>
  <r>
    <x v="24"/>
    <x v="3"/>
    <m/>
    <m/>
    <m/>
    <m/>
    <m/>
    <m/>
    <m/>
    <m/>
    <m/>
    <m/>
    <m/>
    <m/>
    <m/>
    <m/>
    <m/>
    <m/>
    <m/>
    <m/>
    <m/>
    <n v="95.580000000000013"/>
    <m/>
    <m/>
    <m/>
  </r>
  <r>
    <x v="24"/>
    <x v="4"/>
    <m/>
    <m/>
    <m/>
    <m/>
    <m/>
    <m/>
    <m/>
    <m/>
    <m/>
    <m/>
    <m/>
    <m/>
    <m/>
    <m/>
    <m/>
    <m/>
    <m/>
    <m/>
    <m/>
    <n v="95.580000000000013"/>
    <m/>
    <m/>
    <m/>
  </r>
  <r>
    <x v="24"/>
    <x v="5"/>
    <m/>
    <m/>
    <m/>
    <m/>
    <m/>
    <m/>
    <m/>
    <m/>
    <m/>
    <m/>
    <m/>
    <m/>
    <m/>
    <m/>
    <m/>
    <m/>
    <m/>
    <m/>
    <m/>
    <n v="95.580000000000013"/>
    <m/>
    <m/>
    <m/>
  </r>
  <r>
    <x v="24"/>
    <x v="6"/>
    <m/>
    <m/>
    <m/>
    <m/>
    <m/>
    <m/>
    <m/>
    <m/>
    <m/>
    <m/>
    <m/>
    <m/>
    <m/>
    <m/>
    <m/>
    <m/>
    <m/>
    <m/>
    <m/>
    <n v="95.580000000000013"/>
    <m/>
    <m/>
    <m/>
  </r>
  <r>
    <x v="24"/>
    <x v="7"/>
    <m/>
    <m/>
    <m/>
    <m/>
    <m/>
    <m/>
    <m/>
    <m/>
    <m/>
    <m/>
    <m/>
    <m/>
    <m/>
    <m/>
    <m/>
    <m/>
    <m/>
    <m/>
    <m/>
    <n v="618.08400000000017"/>
    <m/>
    <m/>
    <m/>
  </r>
  <r>
    <x v="25"/>
    <x v="0"/>
    <m/>
    <m/>
    <m/>
    <m/>
    <m/>
    <m/>
    <m/>
    <m/>
    <m/>
    <m/>
    <m/>
    <m/>
    <m/>
    <m/>
    <m/>
    <m/>
    <m/>
    <m/>
    <m/>
    <n v="1312.74"/>
    <m/>
    <m/>
    <m/>
  </r>
  <r>
    <x v="25"/>
    <x v="1"/>
    <m/>
    <m/>
    <m/>
    <m/>
    <m/>
    <m/>
    <m/>
    <m/>
    <m/>
    <m/>
    <m/>
    <m/>
    <m/>
    <m/>
    <m/>
    <m/>
    <m/>
    <m/>
    <m/>
    <n v="1896.1799999999998"/>
    <m/>
    <m/>
    <m/>
  </r>
  <r>
    <x v="25"/>
    <x v="2"/>
    <m/>
    <m/>
    <m/>
    <m/>
    <m/>
    <m/>
    <m/>
    <m/>
    <m/>
    <m/>
    <m/>
    <m/>
    <m/>
    <m/>
    <m/>
    <m/>
    <m/>
    <m/>
    <m/>
    <n v="2187.8999999999996"/>
    <m/>
    <m/>
    <m/>
  </r>
  <r>
    <x v="25"/>
    <x v="3"/>
    <m/>
    <m/>
    <m/>
    <m/>
    <m/>
    <m/>
    <m/>
    <m/>
    <m/>
    <m/>
    <m/>
    <m/>
    <m/>
    <m/>
    <m/>
    <m/>
    <m/>
    <m/>
    <m/>
    <n v="2187.8999999999996"/>
    <m/>
    <m/>
    <m/>
  </r>
  <r>
    <x v="25"/>
    <x v="4"/>
    <m/>
    <m/>
    <m/>
    <m/>
    <m/>
    <m/>
    <m/>
    <m/>
    <m/>
    <m/>
    <m/>
    <m/>
    <m/>
    <m/>
    <m/>
    <m/>
    <m/>
    <m/>
    <m/>
    <n v="2187.8999999999996"/>
    <m/>
    <m/>
    <m/>
  </r>
  <r>
    <x v="25"/>
    <x v="5"/>
    <m/>
    <m/>
    <m/>
    <m/>
    <m/>
    <m/>
    <m/>
    <m/>
    <m/>
    <m/>
    <m/>
    <m/>
    <m/>
    <m/>
    <m/>
    <m/>
    <m/>
    <m/>
    <m/>
    <n v="2187.8999999999996"/>
    <m/>
    <m/>
    <m/>
  </r>
  <r>
    <x v="25"/>
    <x v="6"/>
    <m/>
    <m/>
    <m/>
    <m/>
    <m/>
    <m/>
    <m/>
    <m/>
    <m/>
    <m/>
    <m/>
    <m/>
    <m/>
    <m/>
    <m/>
    <m/>
    <m/>
    <m/>
    <m/>
    <n v="2187.8999999999996"/>
    <m/>
    <m/>
    <m/>
  </r>
  <r>
    <x v="25"/>
    <x v="7"/>
    <m/>
    <m/>
    <m/>
    <m/>
    <m/>
    <m/>
    <m/>
    <m/>
    <m/>
    <m/>
    <m/>
    <m/>
    <m/>
    <m/>
    <m/>
    <m/>
    <m/>
    <m/>
    <m/>
    <n v="14148.419999999998"/>
    <m/>
    <m/>
    <m/>
  </r>
  <r>
    <x v="26"/>
    <x v="0"/>
    <m/>
    <m/>
    <m/>
    <m/>
    <m/>
    <m/>
    <m/>
    <m/>
    <m/>
    <m/>
    <m/>
    <m/>
    <m/>
    <m/>
    <m/>
    <m/>
    <m/>
    <m/>
    <m/>
    <n v="284.904"/>
    <m/>
    <m/>
    <m/>
  </r>
  <r>
    <x v="26"/>
    <x v="1"/>
    <m/>
    <m/>
    <m/>
    <m/>
    <m/>
    <m/>
    <m/>
    <m/>
    <m/>
    <m/>
    <m/>
    <m/>
    <m/>
    <m/>
    <m/>
    <m/>
    <m/>
    <m/>
    <m/>
    <n v="411.52800000000002"/>
    <m/>
    <m/>
    <m/>
  </r>
  <r>
    <x v="26"/>
    <x v="2"/>
    <m/>
    <m/>
    <m/>
    <m/>
    <m/>
    <m/>
    <m/>
    <m/>
    <m/>
    <m/>
    <m/>
    <m/>
    <m/>
    <m/>
    <m/>
    <m/>
    <m/>
    <m/>
    <m/>
    <n v="474.84000000000003"/>
    <m/>
    <m/>
    <m/>
  </r>
  <r>
    <x v="26"/>
    <x v="3"/>
    <m/>
    <m/>
    <m/>
    <m/>
    <m/>
    <m/>
    <m/>
    <m/>
    <m/>
    <m/>
    <m/>
    <m/>
    <m/>
    <m/>
    <m/>
    <m/>
    <m/>
    <m/>
    <m/>
    <n v="474.84000000000003"/>
    <m/>
    <m/>
    <m/>
  </r>
  <r>
    <x v="26"/>
    <x v="4"/>
    <m/>
    <m/>
    <m/>
    <m/>
    <m/>
    <m/>
    <m/>
    <m/>
    <m/>
    <m/>
    <m/>
    <m/>
    <m/>
    <m/>
    <m/>
    <m/>
    <m/>
    <m/>
    <m/>
    <n v="474.84000000000003"/>
    <m/>
    <m/>
    <m/>
  </r>
  <r>
    <x v="26"/>
    <x v="5"/>
    <m/>
    <m/>
    <m/>
    <m/>
    <m/>
    <m/>
    <m/>
    <m/>
    <m/>
    <m/>
    <m/>
    <m/>
    <m/>
    <m/>
    <m/>
    <m/>
    <m/>
    <m/>
    <m/>
    <n v="474.84000000000003"/>
    <m/>
    <m/>
    <m/>
  </r>
  <r>
    <x v="26"/>
    <x v="6"/>
    <m/>
    <m/>
    <m/>
    <m/>
    <m/>
    <m/>
    <m/>
    <m/>
    <m/>
    <m/>
    <m/>
    <m/>
    <m/>
    <m/>
    <m/>
    <m/>
    <m/>
    <m/>
    <m/>
    <n v="474.84000000000003"/>
    <m/>
    <m/>
    <m/>
  </r>
  <r>
    <x v="26"/>
    <x v="7"/>
    <m/>
    <m/>
    <m/>
    <m/>
    <m/>
    <m/>
    <m/>
    <m/>
    <m/>
    <m/>
    <m/>
    <m/>
    <m/>
    <m/>
    <m/>
    <m/>
    <m/>
    <m/>
    <m/>
    <n v="3070.6320000000005"/>
    <m/>
    <m/>
    <m/>
  </r>
  <r>
    <x v="27"/>
    <x v="0"/>
    <m/>
    <m/>
    <m/>
    <m/>
    <m/>
    <m/>
    <m/>
    <m/>
    <m/>
    <m/>
    <m/>
    <m/>
    <m/>
    <m/>
    <m/>
    <m/>
    <m/>
    <m/>
    <m/>
    <n v="12131.073"/>
    <m/>
    <m/>
    <m/>
  </r>
  <r>
    <x v="27"/>
    <x v="1"/>
    <m/>
    <m/>
    <m/>
    <m/>
    <m/>
    <m/>
    <m/>
    <m/>
    <m/>
    <m/>
    <m/>
    <m/>
    <m/>
    <m/>
    <m/>
    <m/>
    <m/>
    <m/>
    <m/>
    <n v="17522.660999999996"/>
    <m/>
    <m/>
    <m/>
  </r>
  <r>
    <x v="27"/>
    <x v="2"/>
    <m/>
    <m/>
    <m/>
    <m/>
    <m/>
    <m/>
    <m/>
    <m/>
    <m/>
    <m/>
    <m/>
    <m/>
    <m/>
    <m/>
    <m/>
    <m/>
    <m/>
    <m/>
    <m/>
    <n v="20218.455000000005"/>
    <m/>
    <m/>
    <m/>
  </r>
  <r>
    <x v="27"/>
    <x v="3"/>
    <m/>
    <m/>
    <m/>
    <m/>
    <m/>
    <m/>
    <m/>
    <m/>
    <m/>
    <m/>
    <m/>
    <m/>
    <m/>
    <m/>
    <m/>
    <m/>
    <m/>
    <m/>
    <m/>
    <n v="20218.455000000005"/>
    <m/>
    <m/>
    <m/>
  </r>
  <r>
    <x v="27"/>
    <x v="4"/>
    <m/>
    <m/>
    <m/>
    <m/>
    <m/>
    <m/>
    <m/>
    <m/>
    <m/>
    <m/>
    <m/>
    <m/>
    <m/>
    <m/>
    <m/>
    <m/>
    <m/>
    <m/>
    <m/>
    <n v="20218.455000000005"/>
    <m/>
    <m/>
    <m/>
  </r>
  <r>
    <x v="27"/>
    <x v="5"/>
    <m/>
    <m/>
    <m/>
    <m/>
    <m/>
    <m/>
    <m/>
    <m/>
    <m/>
    <m/>
    <m/>
    <m/>
    <m/>
    <m/>
    <m/>
    <m/>
    <m/>
    <m/>
    <m/>
    <n v="20218.455000000005"/>
    <m/>
    <m/>
    <m/>
  </r>
  <r>
    <x v="27"/>
    <x v="6"/>
    <m/>
    <m/>
    <m/>
    <m/>
    <m/>
    <m/>
    <m/>
    <m/>
    <m/>
    <m/>
    <m/>
    <m/>
    <m/>
    <m/>
    <m/>
    <m/>
    <m/>
    <m/>
    <m/>
    <n v="20218.455000000005"/>
    <m/>
    <m/>
    <m/>
  </r>
  <r>
    <x v="27"/>
    <x v="7"/>
    <m/>
    <m/>
    <m/>
    <m/>
    <m/>
    <m/>
    <m/>
    <m/>
    <m/>
    <m/>
    <m/>
    <m/>
    <m/>
    <m/>
    <m/>
    <m/>
    <m/>
    <m/>
    <m/>
    <n v="130746.00900000001"/>
    <m/>
    <m/>
    <m/>
  </r>
  <r>
    <x v="0"/>
    <x v="0"/>
    <m/>
    <m/>
    <m/>
    <m/>
    <m/>
    <m/>
    <m/>
    <m/>
    <m/>
    <m/>
    <m/>
    <m/>
    <m/>
    <m/>
    <m/>
    <m/>
    <m/>
    <m/>
    <m/>
    <m/>
    <n v="90.677030320379416"/>
    <m/>
    <m/>
  </r>
  <r>
    <x v="0"/>
    <x v="1"/>
    <m/>
    <m/>
    <m/>
    <m/>
    <m/>
    <m/>
    <m/>
    <m/>
    <m/>
    <m/>
    <m/>
    <m/>
    <m/>
    <m/>
    <m/>
    <m/>
    <m/>
    <m/>
    <m/>
    <m/>
    <n v="86.232211705886115"/>
    <m/>
    <m/>
  </r>
  <r>
    <x v="0"/>
    <x v="2"/>
    <m/>
    <m/>
    <m/>
    <m/>
    <m/>
    <m/>
    <m/>
    <m/>
    <m/>
    <m/>
    <m/>
    <m/>
    <m/>
    <m/>
    <m/>
    <m/>
    <m/>
    <m/>
    <m/>
    <m/>
    <n v="82.22128613715482"/>
    <m/>
    <m/>
  </r>
  <r>
    <x v="0"/>
    <x v="3"/>
    <m/>
    <m/>
    <m/>
    <m/>
    <m/>
    <m/>
    <m/>
    <m/>
    <m/>
    <m/>
    <m/>
    <m/>
    <m/>
    <m/>
    <m/>
    <m/>
    <m/>
    <m/>
    <m/>
    <m/>
    <n v="79.785173825913432"/>
    <m/>
    <m/>
  </r>
  <r>
    <x v="0"/>
    <x v="4"/>
    <m/>
    <m/>
    <m/>
    <m/>
    <m/>
    <m/>
    <m/>
    <m/>
    <m/>
    <m/>
    <m/>
    <m/>
    <m/>
    <m/>
    <m/>
    <m/>
    <m/>
    <m/>
    <m/>
    <m/>
    <n v="78.865337923096959"/>
    <m/>
    <m/>
  </r>
  <r>
    <x v="0"/>
    <x v="5"/>
    <m/>
    <m/>
    <m/>
    <m/>
    <m/>
    <m/>
    <m/>
    <m/>
    <m/>
    <m/>
    <m/>
    <m/>
    <m/>
    <m/>
    <m/>
    <m/>
    <m/>
    <m/>
    <m/>
    <m/>
    <n v="77.88384813224026"/>
    <m/>
    <m/>
  </r>
  <r>
    <x v="0"/>
    <x v="6"/>
    <m/>
    <m/>
    <m/>
    <m/>
    <m/>
    <m/>
    <m/>
    <m/>
    <m/>
    <m/>
    <m/>
    <m/>
    <m/>
    <m/>
    <m/>
    <m/>
    <m/>
    <m/>
    <m/>
    <m/>
    <n v="76.901267989792728"/>
    <m/>
    <m/>
  </r>
  <r>
    <x v="0"/>
    <x v="9"/>
    <m/>
    <m/>
    <m/>
    <m/>
    <m/>
    <m/>
    <m/>
    <m/>
    <m/>
    <m/>
    <m/>
    <m/>
    <m/>
    <m/>
    <m/>
    <m/>
    <m/>
    <m/>
    <m/>
    <m/>
    <n v="0"/>
    <m/>
    <m/>
  </r>
  <r>
    <x v="0"/>
    <x v="10"/>
    <m/>
    <m/>
    <m/>
    <m/>
    <m/>
    <m/>
    <m/>
    <m/>
    <m/>
    <m/>
    <m/>
    <m/>
    <m/>
    <m/>
    <m/>
    <m/>
    <m/>
    <m/>
    <m/>
    <m/>
    <n v="0"/>
    <m/>
    <m/>
  </r>
  <r>
    <x v="0"/>
    <x v="11"/>
    <m/>
    <m/>
    <m/>
    <m/>
    <m/>
    <m/>
    <m/>
    <m/>
    <m/>
    <m/>
    <m/>
    <m/>
    <m/>
    <m/>
    <m/>
    <m/>
    <m/>
    <m/>
    <m/>
    <m/>
    <n v="0"/>
    <m/>
    <m/>
  </r>
  <r>
    <x v="1"/>
    <x v="0"/>
    <m/>
    <m/>
    <m/>
    <m/>
    <m/>
    <m/>
    <m/>
    <m/>
    <m/>
    <m/>
    <m/>
    <m/>
    <m/>
    <m/>
    <m/>
    <m/>
    <m/>
    <m/>
    <m/>
    <m/>
    <n v="52.357121231818866"/>
    <m/>
    <m/>
  </r>
  <r>
    <x v="1"/>
    <x v="1"/>
    <m/>
    <m/>
    <m/>
    <m/>
    <m/>
    <m/>
    <m/>
    <m/>
    <m/>
    <m/>
    <m/>
    <m/>
    <m/>
    <m/>
    <m/>
    <m/>
    <m/>
    <m/>
    <m/>
    <m/>
    <n v="49.790672967796183"/>
    <m/>
    <m/>
  </r>
  <r>
    <x v="1"/>
    <x v="2"/>
    <m/>
    <m/>
    <m/>
    <m/>
    <m/>
    <m/>
    <m/>
    <m/>
    <m/>
    <m/>
    <m/>
    <m/>
    <m/>
    <m/>
    <m/>
    <m/>
    <m/>
    <m/>
    <m/>
    <m/>
    <n v="47.474755524184559"/>
    <m/>
    <m/>
  </r>
  <r>
    <x v="1"/>
    <x v="3"/>
    <m/>
    <m/>
    <m/>
    <m/>
    <m/>
    <m/>
    <m/>
    <m/>
    <m/>
    <m/>
    <m/>
    <m/>
    <m/>
    <m/>
    <m/>
    <m/>
    <m/>
    <m/>
    <m/>
    <m/>
    <n v="46.068138797067"/>
    <m/>
    <m/>
  </r>
  <r>
    <x v="1"/>
    <x v="4"/>
    <m/>
    <m/>
    <m/>
    <m/>
    <m/>
    <m/>
    <m/>
    <m/>
    <m/>
    <m/>
    <m/>
    <m/>
    <m/>
    <m/>
    <m/>
    <m/>
    <m/>
    <m/>
    <m/>
    <m/>
    <n v="45.537023478149024"/>
    <m/>
    <m/>
  </r>
  <r>
    <x v="1"/>
    <x v="5"/>
    <m/>
    <m/>
    <m/>
    <m/>
    <m/>
    <m/>
    <m/>
    <m/>
    <m/>
    <m/>
    <m/>
    <m/>
    <m/>
    <m/>
    <m/>
    <m/>
    <m/>
    <m/>
    <m/>
    <m/>
    <n v="44.970309065622367"/>
    <m/>
    <m/>
  </r>
  <r>
    <x v="1"/>
    <x v="6"/>
    <m/>
    <m/>
    <m/>
    <m/>
    <m/>
    <m/>
    <m/>
    <m/>
    <m/>
    <m/>
    <m/>
    <m/>
    <m/>
    <m/>
    <m/>
    <m/>
    <m/>
    <m/>
    <m/>
    <m/>
    <n v="44.402965081635031"/>
    <m/>
    <m/>
  </r>
  <r>
    <x v="1"/>
    <x v="9"/>
    <m/>
    <m/>
    <m/>
    <m/>
    <m/>
    <m/>
    <m/>
    <m/>
    <m/>
    <m/>
    <m/>
    <m/>
    <m/>
    <m/>
    <m/>
    <m/>
    <m/>
    <m/>
    <m/>
    <m/>
    <n v="0"/>
    <m/>
    <m/>
  </r>
  <r>
    <x v="1"/>
    <x v="10"/>
    <m/>
    <m/>
    <m/>
    <m/>
    <m/>
    <m/>
    <m/>
    <m/>
    <m/>
    <m/>
    <m/>
    <m/>
    <m/>
    <m/>
    <m/>
    <m/>
    <m/>
    <m/>
    <m/>
    <m/>
    <n v="0"/>
    <m/>
    <m/>
  </r>
  <r>
    <x v="1"/>
    <x v="11"/>
    <m/>
    <m/>
    <m/>
    <m/>
    <m/>
    <m/>
    <m/>
    <m/>
    <m/>
    <m/>
    <m/>
    <m/>
    <m/>
    <m/>
    <m/>
    <m/>
    <m/>
    <m/>
    <m/>
    <m/>
    <n v="0"/>
    <m/>
    <m/>
  </r>
  <r>
    <x v="2"/>
    <x v="0"/>
    <m/>
    <m/>
    <m/>
    <m/>
    <m/>
    <m/>
    <m/>
    <m/>
    <m/>
    <m/>
    <m/>
    <m/>
    <m/>
    <m/>
    <m/>
    <m/>
    <m/>
    <m/>
    <m/>
    <m/>
    <n v="21.547439272451211"/>
    <m/>
    <m/>
  </r>
  <r>
    <x v="2"/>
    <x v="1"/>
    <m/>
    <m/>
    <m/>
    <m/>
    <m/>
    <m/>
    <m/>
    <m/>
    <m/>
    <m/>
    <m/>
    <m/>
    <m/>
    <m/>
    <m/>
    <m/>
    <m/>
    <m/>
    <m/>
    <m/>
    <n v="20.491224056376481"/>
    <m/>
    <m/>
  </r>
  <r>
    <x v="2"/>
    <x v="2"/>
    <m/>
    <m/>
    <m/>
    <m/>
    <m/>
    <m/>
    <m/>
    <m/>
    <m/>
    <m/>
    <m/>
    <m/>
    <m/>
    <m/>
    <m/>
    <m/>
    <m/>
    <m/>
    <m/>
    <m/>
    <n v="19.538114158387948"/>
    <m/>
    <m/>
  </r>
  <r>
    <x v="2"/>
    <x v="3"/>
    <m/>
    <m/>
    <m/>
    <m/>
    <m/>
    <m/>
    <m/>
    <m/>
    <m/>
    <m/>
    <m/>
    <m/>
    <m/>
    <m/>
    <m/>
    <m/>
    <m/>
    <m/>
    <m/>
    <m/>
    <n v="18.959224643569474"/>
    <m/>
    <m/>
  </r>
  <r>
    <x v="2"/>
    <x v="4"/>
    <m/>
    <m/>
    <m/>
    <m/>
    <m/>
    <m/>
    <m/>
    <m/>
    <m/>
    <m/>
    <m/>
    <m/>
    <m/>
    <m/>
    <m/>
    <m/>
    <m/>
    <m/>
    <m/>
    <m/>
    <n v="18.740645493077562"/>
    <m/>
    <m/>
  </r>
  <r>
    <x v="2"/>
    <x v="5"/>
    <m/>
    <m/>
    <m/>
    <m/>
    <m/>
    <m/>
    <m/>
    <m/>
    <m/>
    <m/>
    <m/>
    <m/>
    <m/>
    <m/>
    <m/>
    <m/>
    <m/>
    <m/>
    <m/>
    <m/>
    <n v="18.507415626701324"/>
    <m/>
    <m/>
  </r>
  <r>
    <x v="2"/>
    <x v="6"/>
    <m/>
    <m/>
    <m/>
    <m/>
    <m/>
    <m/>
    <m/>
    <m/>
    <m/>
    <m/>
    <m/>
    <m/>
    <m/>
    <m/>
    <m/>
    <m/>
    <m/>
    <m/>
    <m/>
    <m/>
    <n v="18.273926661801397"/>
    <m/>
    <m/>
  </r>
  <r>
    <x v="2"/>
    <x v="9"/>
    <m/>
    <m/>
    <m/>
    <m/>
    <m/>
    <m/>
    <m/>
    <m/>
    <m/>
    <m/>
    <m/>
    <m/>
    <m/>
    <m/>
    <m/>
    <m/>
    <m/>
    <m/>
    <m/>
    <m/>
    <n v="0"/>
    <m/>
    <m/>
  </r>
  <r>
    <x v="2"/>
    <x v="10"/>
    <m/>
    <m/>
    <m/>
    <m/>
    <m/>
    <m/>
    <m/>
    <m/>
    <m/>
    <m/>
    <m/>
    <m/>
    <m/>
    <m/>
    <m/>
    <m/>
    <m/>
    <m/>
    <m/>
    <m/>
    <n v="0"/>
    <m/>
    <m/>
  </r>
  <r>
    <x v="2"/>
    <x v="11"/>
    <m/>
    <m/>
    <m/>
    <m/>
    <m/>
    <m/>
    <m/>
    <m/>
    <m/>
    <m/>
    <m/>
    <m/>
    <m/>
    <m/>
    <m/>
    <m/>
    <m/>
    <m/>
    <m/>
    <m/>
    <n v="0"/>
    <m/>
    <m/>
  </r>
  <r>
    <x v="3"/>
    <x v="0"/>
    <m/>
    <m/>
    <m/>
    <m/>
    <m/>
    <m/>
    <m/>
    <m/>
    <m/>
    <m/>
    <m/>
    <m/>
    <m/>
    <m/>
    <m/>
    <m/>
    <m/>
    <m/>
    <m/>
    <m/>
    <n v="12.906587990605294"/>
    <m/>
    <m/>
  </r>
  <r>
    <x v="3"/>
    <x v="1"/>
    <m/>
    <m/>
    <m/>
    <m/>
    <m/>
    <m/>
    <m/>
    <m/>
    <m/>
    <m/>
    <m/>
    <m/>
    <m/>
    <m/>
    <m/>
    <m/>
    <m/>
    <m/>
    <m/>
    <m/>
    <n v="12.273931160672209"/>
    <m/>
    <m/>
  </r>
  <r>
    <x v="3"/>
    <x v="2"/>
    <m/>
    <m/>
    <m/>
    <m/>
    <m/>
    <m/>
    <m/>
    <m/>
    <m/>
    <m/>
    <m/>
    <m/>
    <m/>
    <m/>
    <m/>
    <m/>
    <m/>
    <m/>
    <m/>
    <m/>
    <n v="11.703032846141008"/>
    <m/>
    <m/>
  </r>
  <r>
    <x v="3"/>
    <x v="3"/>
    <m/>
    <m/>
    <m/>
    <m/>
    <m/>
    <m/>
    <m/>
    <m/>
    <m/>
    <m/>
    <m/>
    <m/>
    <m/>
    <m/>
    <m/>
    <m/>
    <m/>
    <m/>
    <m/>
    <m/>
    <n v="11.356286842341108"/>
    <m/>
    <m/>
  </r>
  <r>
    <x v="3"/>
    <x v="4"/>
    <m/>
    <m/>
    <m/>
    <m/>
    <m/>
    <m/>
    <m/>
    <m/>
    <m/>
    <m/>
    <m/>
    <m/>
    <m/>
    <m/>
    <m/>
    <m/>
    <m/>
    <m/>
    <m/>
    <m/>
    <n v="11.225361259812953"/>
    <m/>
    <m/>
  </r>
  <r>
    <x v="3"/>
    <x v="5"/>
    <m/>
    <m/>
    <m/>
    <m/>
    <m/>
    <m/>
    <m/>
    <m/>
    <m/>
    <m/>
    <m/>
    <m/>
    <m/>
    <m/>
    <m/>
    <m/>
    <m/>
    <m/>
    <m/>
    <m/>
    <n v="11.085660121577442"/>
    <m/>
    <m/>
  </r>
  <r>
    <x v="3"/>
    <x v="6"/>
    <m/>
    <m/>
    <m/>
    <m/>
    <m/>
    <m/>
    <m/>
    <m/>
    <m/>
    <m/>
    <m/>
    <m/>
    <m/>
    <m/>
    <m/>
    <m/>
    <m/>
    <m/>
    <m/>
    <m/>
    <n v="10.945803787271904"/>
    <m/>
    <m/>
  </r>
  <r>
    <x v="3"/>
    <x v="9"/>
    <m/>
    <m/>
    <m/>
    <m/>
    <m/>
    <m/>
    <m/>
    <m/>
    <m/>
    <m/>
    <m/>
    <m/>
    <m/>
    <m/>
    <m/>
    <m/>
    <m/>
    <m/>
    <m/>
    <m/>
    <n v="0"/>
    <m/>
    <m/>
  </r>
  <r>
    <x v="3"/>
    <x v="10"/>
    <m/>
    <m/>
    <m/>
    <m/>
    <m/>
    <m/>
    <m/>
    <m/>
    <m/>
    <m/>
    <m/>
    <m/>
    <m/>
    <m/>
    <m/>
    <m/>
    <m/>
    <m/>
    <m/>
    <m/>
    <n v="0"/>
    <m/>
    <m/>
  </r>
  <r>
    <x v="3"/>
    <x v="11"/>
    <m/>
    <m/>
    <m/>
    <m/>
    <m/>
    <m/>
    <m/>
    <m/>
    <m/>
    <m/>
    <m/>
    <m/>
    <m/>
    <m/>
    <m/>
    <m/>
    <m/>
    <m/>
    <m/>
    <m/>
    <n v="0"/>
    <m/>
    <m/>
  </r>
  <r>
    <x v="4"/>
    <x v="0"/>
    <m/>
    <m/>
    <m/>
    <m/>
    <m/>
    <m/>
    <m/>
    <m/>
    <m/>
    <m/>
    <m/>
    <m/>
    <m/>
    <m/>
    <m/>
    <m/>
    <m/>
    <m/>
    <m/>
    <m/>
    <n v="3.6208244282032416"/>
    <m/>
    <m/>
  </r>
  <r>
    <x v="4"/>
    <x v="1"/>
    <m/>
    <m/>
    <m/>
    <m/>
    <m/>
    <m/>
    <m/>
    <m/>
    <m/>
    <m/>
    <m/>
    <m/>
    <m/>
    <m/>
    <m/>
    <m/>
    <m/>
    <m/>
    <m/>
    <m/>
    <n v="3.4433383795156431"/>
    <m/>
    <m/>
  </r>
  <r>
    <x v="4"/>
    <x v="2"/>
    <m/>
    <m/>
    <m/>
    <m/>
    <m/>
    <m/>
    <m/>
    <m/>
    <m/>
    <m/>
    <m/>
    <m/>
    <m/>
    <m/>
    <m/>
    <m/>
    <m/>
    <m/>
    <m/>
    <m/>
    <n v="3.2831781137057097"/>
    <m/>
    <m/>
  </r>
  <r>
    <x v="4"/>
    <x v="3"/>
    <m/>
    <m/>
    <m/>
    <m/>
    <m/>
    <m/>
    <m/>
    <m/>
    <m/>
    <m/>
    <m/>
    <m/>
    <m/>
    <m/>
    <m/>
    <m/>
    <m/>
    <m/>
    <m/>
    <m/>
    <n v="3.1859017148732365"/>
    <m/>
    <m/>
  </r>
  <r>
    <x v="4"/>
    <x v="4"/>
    <m/>
    <m/>
    <m/>
    <m/>
    <m/>
    <m/>
    <m/>
    <m/>
    <m/>
    <m/>
    <m/>
    <m/>
    <m/>
    <m/>
    <m/>
    <m/>
    <m/>
    <m/>
    <m/>
    <m/>
    <n v="3.149171748143087"/>
    <m/>
    <m/>
  </r>
  <r>
    <x v="4"/>
    <x v="5"/>
    <m/>
    <m/>
    <m/>
    <m/>
    <m/>
    <m/>
    <m/>
    <m/>
    <m/>
    <m/>
    <m/>
    <m/>
    <m/>
    <m/>
    <m/>
    <m/>
    <m/>
    <m/>
    <m/>
    <m/>
    <n v="3.1099798800568714"/>
    <m/>
    <m/>
  </r>
  <r>
    <x v="4"/>
    <x v="6"/>
    <m/>
    <m/>
    <m/>
    <m/>
    <m/>
    <m/>
    <m/>
    <m/>
    <m/>
    <m/>
    <m/>
    <m/>
    <m/>
    <m/>
    <m/>
    <m/>
    <m/>
    <m/>
    <m/>
    <m/>
    <n v="3.0707444731421196"/>
    <m/>
    <m/>
  </r>
  <r>
    <x v="4"/>
    <x v="9"/>
    <m/>
    <m/>
    <m/>
    <m/>
    <m/>
    <m/>
    <m/>
    <m/>
    <m/>
    <m/>
    <m/>
    <m/>
    <m/>
    <m/>
    <m/>
    <m/>
    <m/>
    <m/>
    <m/>
    <m/>
    <n v="0"/>
    <m/>
    <m/>
  </r>
  <r>
    <x v="4"/>
    <x v="10"/>
    <m/>
    <m/>
    <m/>
    <m/>
    <m/>
    <m/>
    <m/>
    <m/>
    <m/>
    <m/>
    <m/>
    <m/>
    <m/>
    <m/>
    <m/>
    <m/>
    <m/>
    <m/>
    <m/>
    <m/>
    <n v="0"/>
    <m/>
    <m/>
  </r>
  <r>
    <x v="4"/>
    <x v="11"/>
    <m/>
    <m/>
    <m/>
    <m/>
    <m/>
    <m/>
    <m/>
    <m/>
    <m/>
    <m/>
    <m/>
    <m/>
    <m/>
    <m/>
    <m/>
    <m/>
    <m/>
    <m/>
    <m/>
    <m/>
    <n v="0"/>
    <m/>
    <m/>
  </r>
  <r>
    <x v="5"/>
    <x v="0"/>
    <m/>
    <m/>
    <m/>
    <m/>
    <m/>
    <m/>
    <m/>
    <m/>
    <m/>
    <m/>
    <m/>
    <m/>
    <m/>
    <m/>
    <m/>
    <m/>
    <m/>
    <m/>
    <m/>
    <m/>
    <n v="78.714585642240024"/>
    <m/>
    <m/>
  </r>
  <r>
    <x v="5"/>
    <x v="1"/>
    <m/>
    <m/>
    <m/>
    <m/>
    <m/>
    <m/>
    <m/>
    <m/>
    <m/>
    <m/>
    <m/>
    <m/>
    <m/>
    <m/>
    <m/>
    <m/>
    <m/>
    <m/>
    <m/>
    <m/>
    <n v="76.551473068467217"/>
    <m/>
    <m/>
  </r>
  <r>
    <x v="5"/>
    <x v="2"/>
    <m/>
    <m/>
    <m/>
    <m/>
    <m/>
    <m/>
    <m/>
    <m/>
    <m/>
    <m/>
    <m/>
    <m/>
    <m/>
    <m/>
    <m/>
    <m/>
    <m/>
    <m/>
    <m/>
    <m/>
    <n v="74.879123347413397"/>
    <m/>
    <m/>
  </r>
  <r>
    <x v="5"/>
    <x v="3"/>
    <m/>
    <m/>
    <m/>
    <m/>
    <m/>
    <m/>
    <m/>
    <m/>
    <m/>
    <m/>
    <m/>
    <m/>
    <m/>
    <m/>
    <m/>
    <m/>
    <m/>
    <m/>
    <m/>
    <m/>
    <n v="74.882186094383712"/>
    <m/>
    <m/>
  </r>
  <r>
    <x v="5"/>
    <x v="4"/>
    <m/>
    <m/>
    <m/>
    <m/>
    <m/>
    <m/>
    <m/>
    <m/>
    <m/>
    <m/>
    <m/>
    <m/>
    <m/>
    <m/>
    <m/>
    <m/>
    <m/>
    <m/>
    <m/>
    <m/>
    <n v="72.330197630994405"/>
    <m/>
    <m/>
  </r>
  <r>
    <x v="5"/>
    <x v="5"/>
    <m/>
    <m/>
    <m/>
    <m/>
    <m/>
    <m/>
    <m/>
    <m/>
    <m/>
    <m/>
    <m/>
    <m/>
    <m/>
    <m/>
    <m/>
    <m/>
    <m/>
    <m/>
    <m/>
    <m/>
    <n v="69.994101739707929"/>
    <m/>
    <m/>
  </r>
  <r>
    <x v="5"/>
    <x v="6"/>
    <m/>
    <m/>
    <m/>
    <m/>
    <m/>
    <m/>
    <m/>
    <m/>
    <m/>
    <m/>
    <m/>
    <m/>
    <m/>
    <m/>
    <m/>
    <m/>
    <m/>
    <m/>
    <m/>
    <m/>
    <n v="69.659448943730141"/>
    <m/>
    <m/>
  </r>
  <r>
    <x v="5"/>
    <x v="9"/>
    <m/>
    <m/>
    <m/>
    <m/>
    <m/>
    <m/>
    <m/>
    <m/>
    <m/>
    <m/>
    <m/>
    <m/>
    <m/>
    <m/>
    <m/>
    <m/>
    <m/>
    <m/>
    <m/>
    <m/>
    <n v="0"/>
    <m/>
    <m/>
  </r>
  <r>
    <x v="5"/>
    <x v="10"/>
    <m/>
    <m/>
    <m/>
    <m/>
    <m/>
    <m/>
    <m/>
    <m/>
    <m/>
    <m/>
    <m/>
    <m/>
    <m/>
    <m/>
    <m/>
    <m/>
    <m/>
    <m/>
    <m/>
    <m/>
    <n v="0"/>
    <m/>
    <m/>
  </r>
  <r>
    <x v="5"/>
    <x v="11"/>
    <m/>
    <m/>
    <m/>
    <m/>
    <m/>
    <m/>
    <m/>
    <m/>
    <m/>
    <m/>
    <m/>
    <m/>
    <m/>
    <m/>
    <m/>
    <m/>
    <m/>
    <m/>
    <m/>
    <m/>
    <n v="0"/>
    <m/>
    <m/>
  </r>
  <r>
    <x v="6"/>
    <x v="0"/>
    <m/>
    <m/>
    <m/>
    <m/>
    <m/>
    <m/>
    <m/>
    <m/>
    <m/>
    <m/>
    <m/>
    <m/>
    <m/>
    <m/>
    <m/>
    <m/>
    <m/>
    <m/>
    <m/>
    <m/>
    <n v="26.359601837319598"/>
    <m/>
    <m/>
  </r>
  <r>
    <x v="6"/>
    <x v="1"/>
    <m/>
    <m/>
    <m/>
    <m/>
    <m/>
    <m/>
    <m/>
    <m/>
    <m/>
    <m/>
    <m/>
    <m/>
    <m/>
    <m/>
    <m/>
    <m/>
    <m/>
    <m/>
    <m/>
    <m/>
    <n v="25.067503402873871"/>
    <m/>
    <m/>
  </r>
  <r>
    <x v="6"/>
    <x v="2"/>
    <m/>
    <m/>
    <m/>
    <m/>
    <m/>
    <m/>
    <m/>
    <m/>
    <m/>
    <m/>
    <m/>
    <m/>
    <m/>
    <m/>
    <m/>
    <m/>
    <m/>
    <m/>
    <m/>
    <m/>
    <n v="23.90153666777756"/>
    <m/>
    <m/>
  </r>
  <r>
    <x v="6"/>
    <x v="3"/>
    <m/>
    <m/>
    <m/>
    <m/>
    <m/>
    <m/>
    <m/>
    <m/>
    <m/>
    <m/>
    <m/>
    <m/>
    <m/>
    <m/>
    <m/>
    <m/>
    <m/>
    <m/>
    <m/>
    <m/>
    <n v="23.193364484277158"/>
    <m/>
    <m/>
  </r>
  <r>
    <x v="6"/>
    <x v="4"/>
    <m/>
    <m/>
    <m/>
    <m/>
    <m/>
    <m/>
    <m/>
    <m/>
    <m/>
    <m/>
    <m/>
    <m/>
    <m/>
    <m/>
    <m/>
    <m/>
    <m/>
    <m/>
    <m/>
    <m/>
    <n v="22.925970326481675"/>
    <m/>
    <m/>
  </r>
  <r>
    <x v="6"/>
    <x v="5"/>
    <m/>
    <m/>
    <m/>
    <m/>
    <m/>
    <m/>
    <m/>
    <m/>
    <m/>
    <m/>
    <m/>
    <m/>
    <m/>
    <m/>
    <m/>
    <m/>
    <m/>
    <m/>
    <m/>
    <m/>
    <n v="22.64065352681402"/>
    <m/>
    <m/>
  </r>
  <r>
    <x v="6"/>
    <x v="6"/>
    <m/>
    <m/>
    <m/>
    <m/>
    <m/>
    <m/>
    <m/>
    <m/>
    <m/>
    <m/>
    <m/>
    <m/>
    <m/>
    <m/>
    <m/>
    <m/>
    <m/>
    <m/>
    <m/>
    <m/>
    <n v="22.355019764474626"/>
    <m/>
    <m/>
  </r>
  <r>
    <x v="6"/>
    <x v="9"/>
    <m/>
    <m/>
    <m/>
    <m/>
    <m/>
    <m/>
    <m/>
    <m/>
    <m/>
    <m/>
    <m/>
    <m/>
    <m/>
    <m/>
    <m/>
    <m/>
    <m/>
    <m/>
    <m/>
    <m/>
    <n v="0"/>
    <m/>
    <m/>
  </r>
  <r>
    <x v="6"/>
    <x v="10"/>
    <m/>
    <m/>
    <m/>
    <m/>
    <m/>
    <m/>
    <m/>
    <m/>
    <m/>
    <m/>
    <m/>
    <m/>
    <m/>
    <m/>
    <m/>
    <m/>
    <m/>
    <m/>
    <m/>
    <m/>
    <n v="0"/>
    <m/>
    <m/>
  </r>
  <r>
    <x v="6"/>
    <x v="11"/>
    <m/>
    <m/>
    <m/>
    <m/>
    <m/>
    <m/>
    <m/>
    <m/>
    <m/>
    <m/>
    <m/>
    <m/>
    <m/>
    <m/>
    <m/>
    <m/>
    <m/>
    <m/>
    <m/>
    <m/>
    <n v="0"/>
    <m/>
    <m/>
  </r>
  <r>
    <x v="7"/>
    <x v="0"/>
    <m/>
    <m/>
    <m/>
    <m/>
    <m/>
    <m/>
    <m/>
    <m/>
    <m/>
    <m/>
    <m/>
    <m/>
    <m/>
    <m/>
    <m/>
    <m/>
    <m/>
    <m/>
    <m/>
    <m/>
    <n v="4.5938703017408669"/>
    <m/>
    <m/>
  </r>
  <r>
    <x v="7"/>
    <x v="1"/>
    <m/>
    <m/>
    <m/>
    <m/>
    <m/>
    <m/>
    <m/>
    <m/>
    <m/>
    <m/>
    <m/>
    <m/>
    <m/>
    <m/>
    <m/>
    <m/>
    <m/>
    <m/>
    <m/>
    <m/>
    <n v="4.3686873622731586"/>
    <m/>
    <m/>
  </r>
  <r>
    <x v="7"/>
    <x v="2"/>
    <m/>
    <m/>
    <m/>
    <m/>
    <m/>
    <m/>
    <m/>
    <m/>
    <m/>
    <m/>
    <m/>
    <m/>
    <m/>
    <m/>
    <m/>
    <m/>
    <m/>
    <m/>
    <m/>
    <m/>
    <n v="4.165486267270528"/>
    <m/>
    <m/>
  </r>
  <r>
    <x v="7"/>
    <x v="3"/>
    <m/>
    <m/>
    <m/>
    <m/>
    <m/>
    <m/>
    <m/>
    <m/>
    <m/>
    <m/>
    <m/>
    <m/>
    <m/>
    <m/>
    <m/>
    <m/>
    <m/>
    <m/>
    <m/>
    <m/>
    <n v="4.0420681981214104"/>
    <m/>
    <m/>
  </r>
  <r>
    <x v="7"/>
    <x v="4"/>
    <m/>
    <m/>
    <m/>
    <m/>
    <m/>
    <m/>
    <m/>
    <m/>
    <m/>
    <m/>
    <m/>
    <m/>
    <m/>
    <m/>
    <m/>
    <m/>
    <m/>
    <m/>
    <m/>
    <m/>
    <n v="3.9954675670520681"/>
    <m/>
    <m/>
  </r>
  <r>
    <x v="7"/>
    <x v="5"/>
    <m/>
    <m/>
    <m/>
    <m/>
    <m/>
    <m/>
    <m/>
    <m/>
    <m/>
    <m/>
    <m/>
    <m/>
    <m/>
    <m/>
    <m/>
    <m/>
    <m/>
    <m/>
    <m/>
    <m/>
    <n v="3.9457434331038357"/>
    <m/>
    <m/>
  </r>
  <r>
    <x v="7"/>
    <x v="6"/>
    <m/>
    <m/>
    <m/>
    <m/>
    <m/>
    <m/>
    <m/>
    <m/>
    <m/>
    <m/>
    <m/>
    <m/>
    <m/>
    <m/>
    <m/>
    <m/>
    <m/>
    <m/>
    <m/>
    <m/>
    <n v="3.8959640598764405"/>
    <m/>
    <m/>
  </r>
  <r>
    <x v="7"/>
    <x v="9"/>
    <m/>
    <m/>
    <m/>
    <m/>
    <m/>
    <m/>
    <m/>
    <m/>
    <m/>
    <m/>
    <m/>
    <m/>
    <m/>
    <m/>
    <m/>
    <m/>
    <m/>
    <m/>
    <m/>
    <m/>
    <n v="0"/>
    <m/>
    <m/>
  </r>
  <r>
    <x v="7"/>
    <x v="10"/>
    <m/>
    <m/>
    <m/>
    <m/>
    <m/>
    <m/>
    <m/>
    <m/>
    <m/>
    <m/>
    <m/>
    <m/>
    <m/>
    <m/>
    <m/>
    <m/>
    <m/>
    <m/>
    <m/>
    <m/>
    <n v="0"/>
    <m/>
    <m/>
  </r>
  <r>
    <x v="7"/>
    <x v="11"/>
    <m/>
    <m/>
    <m/>
    <m/>
    <m/>
    <m/>
    <m/>
    <m/>
    <m/>
    <m/>
    <m/>
    <m/>
    <m/>
    <m/>
    <m/>
    <m/>
    <m/>
    <m/>
    <m/>
    <m/>
    <n v="0"/>
    <m/>
    <m/>
  </r>
  <r>
    <x v="8"/>
    <x v="0"/>
    <m/>
    <m/>
    <m/>
    <m/>
    <m/>
    <m/>
    <m/>
    <m/>
    <m/>
    <m/>
    <m/>
    <m/>
    <m/>
    <m/>
    <m/>
    <m/>
    <m/>
    <m/>
    <m/>
    <m/>
    <n v="24.838855577474231"/>
    <m/>
    <m/>
  </r>
  <r>
    <x v="8"/>
    <x v="1"/>
    <m/>
    <m/>
    <m/>
    <m/>
    <m/>
    <m/>
    <m/>
    <m/>
    <m/>
    <m/>
    <m/>
    <m/>
    <m/>
    <m/>
    <m/>
    <m/>
    <m/>
    <m/>
    <m/>
    <m/>
    <n v="23.621301283477301"/>
    <m/>
    <m/>
  </r>
  <r>
    <x v="8"/>
    <x v="2"/>
    <m/>
    <m/>
    <m/>
    <m/>
    <m/>
    <m/>
    <m/>
    <m/>
    <m/>
    <m/>
    <m/>
    <m/>
    <m/>
    <m/>
    <m/>
    <m/>
    <m/>
    <m/>
    <m/>
    <m/>
    <n v="22.522601860021165"/>
    <m/>
    <m/>
  </r>
  <r>
    <x v="8"/>
    <x v="3"/>
    <m/>
    <m/>
    <m/>
    <m/>
    <m/>
    <m/>
    <m/>
    <m/>
    <m/>
    <m/>
    <m/>
    <m/>
    <m/>
    <m/>
    <m/>
    <m/>
    <m/>
    <m/>
    <m/>
    <m/>
    <n v="21.855285764030395"/>
    <m/>
    <m/>
  </r>
  <r>
    <x v="8"/>
    <x v="4"/>
    <m/>
    <m/>
    <m/>
    <m/>
    <m/>
    <m/>
    <m/>
    <m/>
    <m/>
    <m/>
    <m/>
    <m/>
    <m/>
    <m/>
    <m/>
    <m/>
    <m/>
    <m/>
    <m/>
    <m/>
    <n v="21.603318192261568"/>
    <m/>
    <m/>
  </r>
  <r>
    <x v="8"/>
    <x v="5"/>
    <m/>
    <m/>
    <m/>
    <m/>
    <m/>
    <m/>
    <m/>
    <m/>
    <m/>
    <m/>
    <m/>
    <m/>
    <m/>
    <m/>
    <m/>
    <m/>
    <m/>
    <m/>
    <m/>
    <m/>
    <n v="21.334461977190138"/>
    <m/>
    <m/>
  </r>
  <r>
    <x v="8"/>
    <x v="6"/>
    <m/>
    <m/>
    <m/>
    <m/>
    <m/>
    <m/>
    <m/>
    <m/>
    <m/>
    <m/>
    <m/>
    <m/>
    <m/>
    <m/>
    <m/>
    <m/>
    <m/>
    <m/>
    <m/>
    <m/>
    <n v="21.065307085754938"/>
    <m/>
    <m/>
  </r>
  <r>
    <x v="8"/>
    <x v="9"/>
    <m/>
    <m/>
    <m/>
    <m/>
    <m/>
    <m/>
    <m/>
    <m/>
    <m/>
    <m/>
    <m/>
    <m/>
    <m/>
    <m/>
    <m/>
    <m/>
    <m/>
    <m/>
    <m/>
    <m/>
    <n v="0"/>
    <m/>
    <m/>
  </r>
  <r>
    <x v="8"/>
    <x v="10"/>
    <m/>
    <m/>
    <m/>
    <m/>
    <m/>
    <m/>
    <m/>
    <m/>
    <m/>
    <m/>
    <m/>
    <m/>
    <m/>
    <m/>
    <m/>
    <m/>
    <m/>
    <m/>
    <m/>
    <m/>
    <n v="0"/>
    <m/>
    <m/>
  </r>
  <r>
    <x v="8"/>
    <x v="11"/>
    <m/>
    <m/>
    <m/>
    <m/>
    <m/>
    <m/>
    <m/>
    <m/>
    <m/>
    <m/>
    <m/>
    <m/>
    <m/>
    <m/>
    <m/>
    <m/>
    <m/>
    <m/>
    <m/>
    <m/>
    <n v="0"/>
    <m/>
    <m/>
  </r>
  <r>
    <x v="9"/>
    <x v="0"/>
    <m/>
    <m/>
    <m/>
    <m/>
    <m/>
    <m/>
    <m/>
    <m/>
    <m/>
    <m/>
    <m/>
    <m/>
    <m/>
    <m/>
    <m/>
    <m/>
    <m/>
    <m/>
    <m/>
    <m/>
    <n v="334.85913080720002"/>
    <m/>
    <m/>
  </r>
  <r>
    <x v="9"/>
    <x v="1"/>
    <m/>
    <m/>
    <m/>
    <m/>
    <m/>
    <m/>
    <m/>
    <m/>
    <m/>
    <m/>
    <m/>
    <m/>
    <m/>
    <m/>
    <m/>
    <m/>
    <m/>
    <m/>
    <m/>
    <m/>
    <n v="323.70583884446557"/>
    <m/>
    <m/>
  </r>
  <r>
    <x v="9"/>
    <x v="2"/>
    <m/>
    <m/>
    <m/>
    <m/>
    <m/>
    <m/>
    <m/>
    <m/>
    <m/>
    <m/>
    <m/>
    <m/>
    <m/>
    <m/>
    <m/>
    <m/>
    <m/>
    <m/>
    <m/>
    <m/>
    <n v="311.32288751068756"/>
    <m/>
    <m/>
  </r>
  <r>
    <x v="9"/>
    <x v="3"/>
    <m/>
    <m/>
    <m/>
    <m/>
    <m/>
    <m/>
    <m/>
    <m/>
    <m/>
    <m/>
    <m/>
    <m/>
    <m/>
    <m/>
    <m/>
    <m/>
    <m/>
    <m/>
    <m/>
    <m/>
    <n v="309.21540087667466"/>
    <m/>
    <m/>
  </r>
  <r>
    <x v="9"/>
    <x v="4"/>
    <m/>
    <m/>
    <m/>
    <m/>
    <m/>
    <m/>
    <m/>
    <m/>
    <m/>
    <m/>
    <m/>
    <m/>
    <m/>
    <m/>
    <m/>
    <m/>
    <m/>
    <m/>
    <m/>
    <m/>
    <n v="306.81645201456428"/>
    <m/>
    <m/>
  </r>
  <r>
    <x v="9"/>
    <x v="5"/>
    <m/>
    <m/>
    <m/>
    <m/>
    <m/>
    <m/>
    <m/>
    <m/>
    <m/>
    <m/>
    <m/>
    <m/>
    <m/>
    <m/>
    <m/>
    <m/>
    <m/>
    <m/>
    <m/>
    <m/>
    <n v="300.85168737035616"/>
    <m/>
    <m/>
  </r>
  <r>
    <x v="9"/>
    <x v="6"/>
    <m/>
    <m/>
    <m/>
    <m/>
    <m/>
    <m/>
    <m/>
    <m/>
    <m/>
    <m/>
    <m/>
    <m/>
    <m/>
    <m/>
    <m/>
    <m/>
    <m/>
    <m/>
    <m/>
    <m/>
    <n v="294.58417518572116"/>
    <m/>
    <m/>
  </r>
  <r>
    <x v="9"/>
    <x v="9"/>
    <m/>
    <m/>
    <m/>
    <m/>
    <m/>
    <m/>
    <m/>
    <m/>
    <m/>
    <m/>
    <m/>
    <m/>
    <m/>
    <m/>
    <m/>
    <m/>
    <m/>
    <m/>
    <m/>
    <m/>
    <n v="0"/>
    <m/>
    <m/>
  </r>
  <r>
    <x v="9"/>
    <x v="10"/>
    <m/>
    <m/>
    <m/>
    <m/>
    <m/>
    <m/>
    <m/>
    <m/>
    <m/>
    <m/>
    <m/>
    <m/>
    <m/>
    <m/>
    <m/>
    <m/>
    <m/>
    <m/>
    <m/>
    <m/>
    <n v="0"/>
    <m/>
    <m/>
  </r>
  <r>
    <x v="9"/>
    <x v="11"/>
    <m/>
    <m/>
    <m/>
    <m/>
    <m/>
    <m/>
    <m/>
    <m/>
    <m/>
    <m/>
    <m/>
    <m/>
    <m/>
    <m/>
    <m/>
    <m/>
    <m/>
    <m/>
    <m/>
    <m/>
    <n v="0"/>
    <m/>
    <m/>
  </r>
  <r>
    <x v="10"/>
    <x v="0"/>
    <m/>
    <m/>
    <m/>
    <m/>
    <m/>
    <m/>
    <m/>
    <m/>
    <m/>
    <m/>
    <m/>
    <m/>
    <m/>
    <m/>
    <m/>
    <m/>
    <m/>
    <m/>
    <m/>
    <m/>
    <n v="1071.7066672670403"/>
    <m/>
    <m/>
  </r>
  <r>
    <x v="10"/>
    <x v="1"/>
    <m/>
    <m/>
    <m/>
    <m/>
    <m/>
    <m/>
    <m/>
    <m/>
    <m/>
    <m/>
    <m/>
    <m/>
    <m/>
    <m/>
    <m/>
    <m/>
    <m/>
    <m/>
    <m/>
    <m/>
    <n v="934.071761151636"/>
    <m/>
    <m/>
  </r>
  <r>
    <x v="10"/>
    <x v="2"/>
    <m/>
    <m/>
    <m/>
    <m/>
    <m/>
    <m/>
    <m/>
    <m/>
    <m/>
    <m/>
    <m/>
    <m/>
    <m/>
    <m/>
    <m/>
    <m/>
    <m/>
    <m/>
    <m/>
    <m/>
    <n v="866.74573682480764"/>
    <m/>
    <m/>
  </r>
  <r>
    <x v="10"/>
    <x v="3"/>
    <m/>
    <m/>
    <m/>
    <m/>
    <m/>
    <m/>
    <m/>
    <m/>
    <m/>
    <m/>
    <m/>
    <m/>
    <m/>
    <m/>
    <m/>
    <m/>
    <m/>
    <m/>
    <m/>
    <m/>
    <n v="837.98994783290391"/>
    <m/>
    <m/>
  </r>
  <r>
    <x v="10"/>
    <x v="4"/>
    <m/>
    <m/>
    <m/>
    <m/>
    <m/>
    <m/>
    <m/>
    <m/>
    <m/>
    <m/>
    <m/>
    <m/>
    <m/>
    <m/>
    <m/>
    <m/>
    <m/>
    <m/>
    <m/>
    <m/>
    <n v="833.71130983472779"/>
    <m/>
    <m/>
  </r>
  <r>
    <x v="10"/>
    <x v="5"/>
    <m/>
    <m/>
    <m/>
    <m/>
    <m/>
    <m/>
    <m/>
    <m/>
    <m/>
    <m/>
    <m/>
    <m/>
    <m/>
    <m/>
    <m/>
    <m/>
    <m/>
    <m/>
    <m/>
    <m/>
    <n v="827.40880059223343"/>
    <m/>
    <m/>
  </r>
  <r>
    <x v="10"/>
    <x v="6"/>
    <m/>
    <m/>
    <m/>
    <m/>
    <m/>
    <m/>
    <m/>
    <m/>
    <m/>
    <m/>
    <m/>
    <m/>
    <m/>
    <m/>
    <m/>
    <m/>
    <m/>
    <m/>
    <m/>
    <m/>
    <n v="819.19108689614416"/>
    <m/>
    <m/>
  </r>
  <r>
    <x v="10"/>
    <x v="9"/>
    <m/>
    <m/>
    <m/>
    <m/>
    <m/>
    <m/>
    <m/>
    <m/>
    <m/>
    <m/>
    <m/>
    <m/>
    <m/>
    <m/>
    <m/>
    <m/>
    <m/>
    <m/>
    <m/>
    <m/>
    <n v="0"/>
    <m/>
    <m/>
  </r>
  <r>
    <x v="10"/>
    <x v="10"/>
    <m/>
    <m/>
    <m/>
    <m/>
    <m/>
    <m/>
    <m/>
    <m/>
    <m/>
    <m/>
    <m/>
    <m/>
    <m/>
    <m/>
    <m/>
    <m/>
    <m/>
    <m/>
    <m/>
    <m/>
    <n v="0"/>
    <m/>
    <m/>
  </r>
  <r>
    <x v="10"/>
    <x v="11"/>
    <m/>
    <m/>
    <m/>
    <m/>
    <m/>
    <m/>
    <m/>
    <m/>
    <m/>
    <m/>
    <m/>
    <m/>
    <m/>
    <m/>
    <m/>
    <m/>
    <m/>
    <m/>
    <m/>
    <m/>
    <n v="0"/>
    <m/>
    <m/>
  </r>
  <r>
    <x v="11"/>
    <x v="0"/>
    <m/>
    <m/>
    <m/>
    <m/>
    <m/>
    <m/>
    <m/>
    <m/>
    <m/>
    <m/>
    <m/>
    <m/>
    <m/>
    <m/>
    <m/>
    <m/>
    <m/>
    <m/>
    <m/>
    <m/>
    <n v="45.98447023818116"/>
    <m/>
    <m/>
  </r>
  <r>
    <x v="11"/>
    <x v="1"/>
    <m/>
    <m/>
    <m/>
    <m/>
    <m/>
    <m/>
    <m/>
    <m/>
    <m/>
    <m/>
    <m/>
    <m/>
    <m/>
    <m/>
    <m/>
    <m/>
    <m/>
    <m/>
    <m/>
    <m/>
    <n v="43.730397419848664"/>
    <m/>
    <m/>
  </r>
  <r>
    <x v="11"/>
    <x v="2"/>
    <m/>
    <m/>
    <m/>
    <m/>
    <m/>
    <m/>
    <m/>
    <m/>
    <m/>
    <m/>
    <m/>
    <m/>
    <m/>
    <m/>
    <m/>
    <m/>
    <m/>
    <m/>
    <m/>
    <m/>
    <n v="41.696362044062511"/>
    <m/>
    <m/>
  </r>
  <r>
    <x v="11"/>
    <x v="3"/>
    <m/>
    <m/>
    <m/>
    <m/>
    <m/>
    <m/>
    <m/>
    <m/>
    <m/>
    <m/>
    <m/>
    <m/>
    <m/>
    <m/>
    <m/>
    <m/>
    <m/>
    <m/>
    <m/>
    <m/>
    <n v="40.460951778890099"/>
    <m/>
    <m/>
  </r>
  <r>
    <x v="11"/>
    <x v="4"/>
    <m/>
    <m/>
    <m/>
    <m/>
    <m/>
    <m/>
    <m/>
    <m/>
    <m/>
    <m/>
    <m/>
    <m/>
    <m/>
    <m/>
    <m/>
    <m/>
    <m/>
    <m/>
    <m/>
    <m/>
    <n v="39.994481201417187"/>
    <m/>
    <m/>
  </r>
  <r>
    <x v="11"/>
    <x v="5"/>
    <m/>
    <m/>
    <m/>
    <m/>
    <m/>
    <m/>
    <m/>
    <m/>
    <m/>
    <m/>
    <m/>
    <m/>
    <m/>
    <m/>
    <m/>
    <m/>
    <m/>
    <m/>
    <m/>
    <m/>
    <n v="39.49674447672227"/>
    <m/>
    <m/>
  </r>
  <r>
    <x v="11"/>
    <x v="6"/>
    <m/>
    <m/>
    <m/>
    <m/>
    <m/>
    <m/>
    <m/>
    <m/>
    <m/>
    <m/>
    <m/>
    <m/>
    <m/>
    <m/>
    <m/>
    <m/>
    <m/>
    <m/>
    <m/>
    <m/>
    <n v="38.998454808904924"/>
    <m/>
    <m/>
  </r>
  <r>
    <x v="11"/>
    <x v="9"/>
    <m/>
    <m/>
    <m/>
    <m/>
    <m/>
    <m/>
    <m/>
    <m/>
    <m/>
    <m/>
    <m/>
    <m/>
    <m/>
    <m/>
    <m/>
    <m/>
    <m/>
    <m/>
    <m/>
    <m/>
    <n v="0"/>
    <m/>
    <m/>
  </r>
  <r>
    <x v="11"/>
    <x v="10"/>
    <m/>
    <m/>
    <m/>
    <m/>
    <m/>
    <m/>
    <m/>
    <m/>
    <m/>
    <m/>
    <m/>
    <m/>
    <m/>
    <m/>
    <m/>
    <m/>
    <m/>
    <m/>
    <m/>
    <m/>
    <n v="0"/>
    <m/>
    <m/>
  </r>
  <r>
    <x v="11"/>
    <x v="11"/>
    <m/>
    <m/>
    <m/>
    <m/>
    <m/>
    <m/>
    <m/>
    <m/>
    <m/>
    <m/>
    <m/>
    <m/>
    <m/>
    <m/>
    <m/>
    <m/>
    <m/>
    <m/>
    <m/>
    <m/>
    <n v="0"/>
    <m/>
    <m/>
  </r>
  <r>
    <x v="12"/>
    <x v="0"/>
    <m/>
    <m/>
    <m/>
    <m/>
    <m/>
    <m/>
    <m/>
    <m/>
    <m/>
    <m/>
    <m/>
    <m/>
    <m/>
    <m/>
    <m/>
    <m/>
    <m/>
    <m/>
    <m/>
    <m/>
    <n v="31.993025315695331"/>
    <m/>
    <m/>
  </r>
  <r>
    <x v="12"/>
    <x v="1"/>
    <m/>
    <m/>
    <m/>
    <m/>
    <m/>
    <m/>
    <m/>
    <m/>
    <m/>
    <m/>
    <m/>
    <m/>
    <m/>
    <m/>
    <m/>
    <m/>
    <m/>
    <m/>
    <m/>
    <m/>
    <n v="30.424786987259491"/>
    <m/>
    <m/>
  </r>
  <r>
    <x v="12"/>
    <x v="2"/>
    <m/>
    <m/>
    <m/>
    <m/>
    <m/>
    <m/>
    <m/>
    <m/>
    <m/>
    <m/>
    <m/>
    <m/>
    <m/>
    <m/>
    <m/>
    <m/>
    <m/>
    <m/>
    <m/>
    <m/>
    <n v="29.00963650420546"/>
    <m/>
    <m/>
  </r>
  <r>
    <x v="12"/>
    <x v="3"/>
    <m/>
    <m/>
    <m/>
    <m/>
    <m/>
    <m/>
    <m/>
    <m/>
    <m/>
    <m/>
    <m/>
    <m/>
    <m/>
    <m/>
    <m/>
    <m/>
    <m/>
    <m/>
    <m/>
    <m/>
    <n v="28.150117808345545"/>
    <m/>
    <m/>
  </r>
  <r>
    <x v="12"/>
    <x v="4"/>
    <m/>
    <m/>
    <m/>
    <m/>
    <m/>
    <m/>
    <m/>
    <m/>
    <m/>
    <m/>
    <m/>
    <m/>
    <m/>
    <m/>
    <m/>
    <m/>
    <m/>
    <m/>
    <m/>
    <m/>
    <n v="27.825577699112621"/>
    <m/>
    <m/>
  </r>
  <r>
    <x v="12"/>
    <x v="5"/>
    <m/>
    <m/>
    <m/>
    <m/>
    <m/>
    <m/>
    <m/>
    <m/>
    <m/>
    <m/>
    <m/>
    <m/>
    <m/>
    <m/>
    <m/>
    <m/>
    <m/>
    <m/>
    <m/>
    <m/>
    <n v="27.479284623401718"/>
    <m/>
    <m/>
  </r>
  <r>
    <x v="12"/>
    <x v="6"/>
    <m/>
    <m/>
    <m/>
    <m/>
    <m/>
    <m/>
    <m/>
    <m/>
    <m/>
    <m/>
    <m/>
    <m/>
    <m/>
    <m/>
    <m/>
    <m/>
    <m/>
    <m/>
    <m/>
    <m/>
    <n v="27.13260684556807"/>
    <m/>
    <m/>
  </r>
  <r>
    <x v="12"/>
    <x v="9"/>
    <m/>
    <m/>
    <m/>
    <m/>
    <m/>
    <m/>
    <m/>
    <m/>
    <m/>
    <m/>
    <m/>
    <m/>
    <m/>
    <m/>
    <m/>
    <m/>
    <m/>
    <m/>
    <m/>
    <m/>
    <n v="0"/>
    <m/>
    <m/>
  </r>
  <r>
    <x v="12"/>
    <x v="10"/>
    <m/>
    <m/>
    <m/>
    <m/>
    <m/>
    <m/>
    <m/>
    <m/>
    <m/>
    <m/>
    <m/>
    <m/>
    <m/>
    <m/>
    <m/>
    <m/>
    <m/>
    <m/>
    <m/>
    <m/>
    <n v="0"/>
    <m/>
    <m/>
  </r>
  <r>
    <x v="12"/>
    <x v="11"/>
    <m/>
    <m/>
    <m/>
    <m/>
    <m/>
    <m/>
    <m/>
    <m/>
    <m/>
    <m/>
    <m/>
    <m/>
    <m/>
    <m/>
    <m/>
    <m/>
    <m/>
    <m/>
    <m/>
    <m/>
    <n v="0"/>
    <m/>
    <m/>
  </r>
  <r>
    <x v="13"/>
    <x v="0"/>
    <m/>
    <m/>
    <m/>
    <m/>
    <m/>
    <m/>
    <m/>
    <m/>
    <m/>
    <m/>
    <m/>
    <m/>
    <m/>
    <m/>
    <m/>
    <m/>
    <m/>
    <m/>
    <m/>
    <m/>
    <n v="23.607775271885128"/>
    <m/>
    <m/>
  </r>
  <r>
    <x v="13"/>
    <x v="1"/>
    <m/>
    <m/>
    <m/>
    <m/>
    <m/>
    <m/>
    <m/>
    <m/>
    <m/>
    <m/>
    <m/>
    <m/>
    <m/>
    <m/>
    <m/>
    <m/>
    <m/>
    <m/>
    <m/>
    <m/>
    <n v="22.450566234441979"/>
    <m/>
    <m/>
  </r>
  <r>
    <x v="13"/>
    <x v="2"/>
    <m/>
    <m/>
    <m/>
    <m/>
    <m/>
    <m/>
    <m/>
    <m/>
    <m/>
    <m/>
    <m/>
    <m/>
    <m/>
    <m/>
    <m/>
    <m/>
    <m/>
    <m/>
    <m/>
    <m/>
    <n v="21.406321301361224"/>
    <m/>
    <m/>
  </r>
  <r>
    <x v="13"/>
    <x v="3"/>
    <m/>
    <m/>
    <m/>
    <m/>
    <m/>
    <m/>
    <m/>
    <m/>
    <m/>
    <m/>
    <m/>
    <m/>
    <m/>
    <m/>
    <m/>
    <m/>
    <m/>
    <m/>
    <m/>
    <m/>
    <n v="20.772079180973503"/>
    <m/>
    <m/>
  </r>
  <r>
    <x v="13"/>
    <x v="4"/>
    <m/>
    <m/>
    <m/>
    <m/>
    <m/>
    <m/>
    <m/>
    <m/>
    <m/>
    <m/>
    <m/>
    <m/>
    <m/>
    <m/>
    <m/>
    <m/>
    <m/>
    <m/>
    <m/>
    <m/>
    <n v="20.532599797892921"/>
    <m/>
    <m/>
  </r>
  <r>
    <x v="13"/>
    <x v="5"/>
    <m/>
    <m/>
    <m/>
    <m/>
    <m/>
    <m/>
    <m/>
    <m/>
    <m/>
    <m/>
    <m/>
    <m/>
    <m/>
    <m/>
    <m/>
    <m/>
    <m/>
    <m/>
    <m/>
    <m/>
    <n v="20.277068817970804"/>
    <m/>
    <m/>
  </r>
  <r>
    <x v="13"/>
    <x v="6"/>
    <m/>
    <m/>
    <m/>
    <m/>
    <m/>
    <m/>
    <m/>
    <m/>
    <m/>
    <m/>
    <m/>
    <m/>
    <m/>
    <m/>
    <m/>
    <m/>
    <m/>
    <m/>
    <m/>
    <m/>
    <n v="20.021253964886622"/>
    <m/>
    <m/>
  </r>
  <r>
    <x v="13"/>
    <x v="9"/>
    <m/>
    <m/>
    <m/>
    <m/>
    <m/>
    <m/>
    <m/>
    <m/>
    <m/>
    <m/>
    <m/>
    <m/>
    <m/>
    <m/>
    <m/>
    <m/>
    <m/>
    <m/>
    <m/>
    <m/>
    <n v="0"/>
    <m/>
    <m/>
  </r>
  <r>
    <x v="13"/>
    <x v="10"/>
    <m/>
    <m/>
    <m/>
    <m/>
    <m/>
    <m/>
    <m/>
    <m/>
    <m/>
    <m/>
    <m/>
    <m/>
    <m/>
    <m/>
    <m/>
    <m/>
    <m/>
    <m/>
    <m/>
    <m/>
    <n v="0"/>
    <m/>
    <m/>
  </r>
  <r>
    <x v="13"/>
    <x v="11"/>
    <m/>
    <m/>
    <m/>
    <m/>
    <m/>
    <m/>
    <m/>
    <m/>
    <m/>
    <m/>
    <m/>
    <m/>
    <m/>
    <m/>
    <m/>
    <m/>
    <m/>
    <m/>
    <m/>
    <m/>
    <n v="0"/>
    <m/>
    <m/>
  </r>
  <r>
    <x v="14"/>
    <x v="0"/>
    <m/>
    <m/>
    <m/>
    <m/>
    <m/>
    <m/>
    <m/>
    <m/>
    <m/>
    <m/>
    <m/>
    <m/>
    <m/>
    <m/>
    <m/>
    <m/>
    <m/>
    <m/>
    <m/>
    <m/>
    <n v="467.45740118982508"/>
    <m/>
    <m/>
  </r>
  <r>
    <x v="14"/>
    <x v="1"/>
    <m/>
    <m/>
    <m/>
    <m/>
    <m/>
    <m/>
    <m/>
    <m/>
    <m/>
    <m/>
    <m/>
    <m/>
    <m/>
    <m/>
    <m/>
    <m/>
    <m/>
    <m/>
    <m/>
    <m/>
    <n v="448.13886138442604"/>
    <m/>
    <m/>
  </r>
  <r>
    <x v="14"/>
    <x v="2"/>
    <m/>
    <m/>
    <m/>
    <m/>
    <m/>
    <m/>
    <m/>
    <m/>
    <m/>
    <m/>
    <m/>
    <m/>
    <m/>
    <m/>
    <m/>
    <m/>
    <m/>
    <m/>
    <m/>
    <m/>
    <n v="428.41244482712239"/>
    <m/>
    <m/>
  </r>
  <r>
    <x v="14"/>
    <x v="3"/>
    <m/>
    <m/>
    <m/>
    <m/>
    <m/>
    <m/>
    <m/>
    <m/>
    <m/>
    <m/>
    <m/>
    <m/>
    <m/>
    <m/>
    <m/>
    <m/>
    <m/>
    <m/>
    <m/>
    <m/>
    <n v="409.74612869014902"/>
    <m/>
    <m/>
  </r>
  <r>
    <x v="14"/>
    <x v="4"/>
    <m/>
    <m/>
    <m/>
    <m/>
    <m/>
    <m/>
    <m/>
    <m/>
    <m/>
    <m/>
    <m/>
    <m/>
    <m/>
    <m/>
    <m/>
    <m/>
    <m/>
    <m/>
    <m/>
    <m/>
    <n v="401.38251865165387"/>
    <m/>
    <m/>
  </r>
  <r>
    <x v="14"/>
    <x v="5"/>
    <m/>
    <m/>
    <m/>
    <m/>
    <m/>
    <m/>
    <m/>
    <m/>
    <m/>
    <m/>
    <m/>
    <m/>
    <m/>
    <m/>
    <m/>
    <m/>
    <m/>
    <m/>
    <m/>
    <m/>
    <n v="395.7379283944926"/>
    <m/>
    <m/>
  </r>
  <r>
    <x v="14"/>
    <x v="6"/>
    <m/>
    <m/>
    <m/>
    <m/>
    <m/>
    <m/>
    <m/>
    <m/>
    <m/>
    <m/>
    <m/>
    <m/>
    <m/>
    <m/>
    <m/>
    <m/>
    <m/>
    <m/>
    <m/>
    <m/>
    <n v="390.95631348861889"/>
    <m/>
    <m/>
  </r>
  <r>
    <x v="14"/>
    <x v="9"/>
    <m/>
    <m/>
    <m/>
    <m/>
    <m/>
    <m/>
    <m/>
    <m/>
    <m/>
    <m/>
    <m/>
    <m/>
    <m/>
    <m/>
    <m/>
    <m/>
    <m/>
    <m/>
    <m/>
    <m/>
    <n v="0"/>
    <m/>
    <m/>
  </r>
  <r>
    <x v="14"/>
    <x v="10"/>
    <m/>
    <m/>
    <m/>
    <m/>
    <m/>
    <m/>
    <m/>
    <m/>
    <m/>
    <m/>
    <m/>
    <m/>
    <m/>
    <m/>
    <m/>
    <m/>
    <m/>
    <m/>
    <m/>
    <m/>
    <n v="0"/>
    <m/>
    <m/>
  </r>
  <r>
    <x v="14"/>
    <x v="11"/>
    <m/>
    <m/>
    <m/>
    <m/>
    <m/>
    <m/>
    <m/>
    <m/>
    <m/>
    <m/>
    <m/>
    <m/>
    <m/>
    <m/>
    <m/>
    <m/>
    <m/>
    <m/>
    <m/>
    <m/>
    <n v="0"/>
    <m/>
    <m/>
  </r>
  <r>
    <x v="15"/>
    <x v="0"/>
    <m/>
    <m/>
    <m/>
    <m/>
    <m/>
    <m/>
    <m/>
    <m/>
    <m/>
    <m/>
    <m/>
    <m/>
    <m/>
    <m/>
    <m/>
    <m/>
    <m/>
    <m/>
    <m/>
    <m/>
    <n v="5.0675436567788728"/>
    <m/>
    <m/>
  </r>
  <r>
    <x v="15"/>
    <x v="1"/>
    <m/>
    <m/>
    <m/>
    <m/>
    <m/>
    <m/>
    <m/>
    <m/>
    <m/>
    <m/>
    <m/>
    <m/>
    <m/>
    <m/>
    <m/>
    <m/>
    <m/>
    <m/>
    <m/>
    <m/>
    <n v="4.8191421344106908"/>
    <m/>
    <m/>
  </r>
  <r>
    <x v="15"/>
    <x v="2"/>
    <m/>
    <m/>
    <m/>
    <m/>
    <m/>
    <m/>
    <m/>
    <m/>
    <m/>
    <m/>
    <m/>
    <m/>
    <m/>
    <m/>
    <m/>
    <m/>
    <m/>
    <m/>
    <m/>
    <m/>
    <n v="4.5949890015630173"/>
    <m/>
    <m/>
  </r>
  <r>
    <x v="15"/>
    <x v="3"/>
    <m/>
    <m/>
    <m/>
    <m/>
    <m/>
    <m/>
    <m/>
    <m/>
    <m/>
    <m/>
    <m/>
    <m/>
    <m/>
    <m/>
    <m/>
    <m/>
    <m/>
    <m/>
    <m/>
    <m/>
    <n v="4.458845311739756"/>
    <m/>
    <m/>
  </r>
  <r>
    <x v="15"/>
    <x v="4"/>
    <m/>
    <m/>
    <m/>
    <m/>
    <m/>
    <m/>
    <m/>
    <m/>
    <m/>
    <m/>
    <m/>
    <m/>
    <m/>
    <m/>
    <m/>
    <m/>
    <m/>
    <m/>
    <m/>
    <m/>
    <n v="4.411416162853965"/>
    <m/>
    <m/>
  </r>
  <r>
    <x v="15"/>
    <x v="5"/>
    <m/>
    <m/>
    <m/>
    <m/>
    <m/>
    <m/>
    <m/>
    <m/>
    <m/>
    <m/>
    <m/>
    <m/>
    <m/>
    <m/>
    <m/>
    <m/>
    <m/>
    <m/>
    <m/>
    <m/>
    <n v="4.3606023447032252"/>
    <m/>
    <m/>
  </r>
  <r>
    <x v="15"/>
    <x v="6"/>
    <m/>
    <m/>
    <m/>
    <m/>
    <m/>
    <m/>
    <m/>
    <m/>
    <m/>
    <m/>
    <m/>
    <m/>
    <m/>
    <m/>
    <m/>
    <m/>
    <m/>
    <m/>
    <m/>
    <m/>
    <n v="4.3095963069707794"/>
    <m/>
    <m/>
  </r>
  <r>
    <x v="15"/>
    <x v="9"/>
    <m/>
    <m/>
    <m/>
    <m/>
    <m/>
    <m/>
    <m/>
    <m/>
    <m/>
    <m/>
    <m/>
    <m/>
    <m/>
    <m/>
    <m/>
    <m/>
    <m/>
    <m/>
    <m/>
    <m/>
    <n v="0"/>
    <m/>
    <m/>
  </r>
  <r>
    <x v="15"/>
    <x v="10"/>
    <m/>
    <m/>
    <m/>
    <m/>
    <m/>
    <m/>
    <m/>
    <m/>
    <m/>
    <m/>
    <m/>
    <m/>
    <m/>
    <m/>
    <m/>
    <m/>
    <m/>
    <m/>
    <m/>
    <m/>
    <n v="0"/>
    <m/>
    <m/>
  </r>
  <r>
    <x v="15"/>
    <x v="11"/>
    <m/>
    <m/>
    <m/>
    <m/>
    <m/>
    <m/>
    <m/>
    <m/>
    <m/>
    <m/>
    <m/>
    <m/>
    <m/>
    <m/>
    <m/>
    <m/>
    <m/>
    <m/>
    <m/>
    <m/>
    <n v="0"/>
    <m/>
    <m/>
  </r>
  <r>
    <x v="16"/>
    <x v="0"/>
    <m/>
    <m/>
    <m/>
    <m/>
    <m/>
    <m/>
    <m/>
    <m/>
    <m/>
    <m/>
    <m/>
    <m/>
    <m/>
    <m/>
    <m/>
    <m/>
    <m/>
    <m/>
    <m/>
    <m/>
    <n v="7.8680283092093024"/>
    <m/>
    <m/>
  </r>
  <r>
    <x v="16"/>
    <x v="1"/>
    <m/>
    <m/>
    <m/>
    <m/>
    <m/>
    <m/>
    <m/>
    <m/>
    <m/>
    <m/>
    <m/>
    <m/>
    <m/>
    <m/>
    <m/>
    <m/>
    <m/>
    <m/>
    <m/>
    <m/>
    <n v="7.4823522613218607"/>
    <m/>
    <m/>
  </r>
  <r>
    <x v="16"/>
    <x v="2"/>
    <m/>
    <m/>
    <m/>
    <m/>
    <m/>
    <m/>
    <m/>
    <m/>
    <m/>
    <m/>
    <m/>
    <m/>
    <m/>
    <m/>
    <m/>
    <m/>
    <m/>
    <m/>
    <m/>
    <m/>
    <n v="7.1343250287425795"/>
    <m/>
    <m/>
  </r>
  <r>
    <x v="16"/>
    <x v="3"/>
    <m/>
    <m/>
    <m/>
    <m/>
    <m/>
    <m/>
    <m/>
    <m/>
    <m/>
    <m/>
    <m/>
    <m/>
    <m/>
    <m/>
    <m/>
    <m/>
    <m/>
    <m/>
    <m/>
    <m/>
    <n v="6.9229440366485679"/>
    <m/>
    <m/>
  </r>
  <r>
    <x v="16"/>
    <x v="4"/>
    <m/>
    <m/>
    <m/>
    <m/>
    <m/>
    <m/>
    <m/>
    <m/>
    <m/>
    <m/>
    <m/>
    <m/>
    <m/>
    <m/>
    <m/>
    <m/>
    <m/>
    <m/>
    <m/>
    <m/>
    <n v="6.8493040423258922"/>
    <m/>
    <m/>
  </r>
  <r>
    <x v="16"/>
    <x v="5"/>
    <m/>
    <m/>
    <m/>
    <m/>
    <m/>
    <m/>
    <m/>
    <m/>
    <m/>
    <m/>
    <m/>
    <m/>
    <m/>
    <m/>
    <m/>
    <m/>
    <m/>
    <m/>
    <m/>
    <m/>
    <n v="6.7704089036181658"/>
    <m/>
    <m/>
  </r>
  <r>
    <x v="16"/>
    <x v="6"/>
    <m/>
    <m/>
    <m/>
    <m/>
    <m/>
    <m/>
    <m/>
    <m/>
    <m/>
    <m/>
    <m/>
    <m/>
    <m/>
    <m/>
    <m/>
    <m/>
    <m/>
    <m/>
    <m/>
    <m/>
    <n v="6.6912153187177896"/>
    <m/>
    <m/>
  </r>
  <r>
    <x v="16"/>
    <x v="9"/>
    <m/>
    <m/>
    <m/>
    <m/>
    <m/>
    <m/>
    <m/>
    <m/>
    <m/>
    <m/>
    <m/>
    <m/>
    <m/>
    <m/>
    <m/>
    <m/>
    <m/>
    <m/>
    <m/>
    <m/>
    <n v="0"/>
    <m/>
    <m/>
  </r>
  <r>
    <x v="16"/>
    <x v="10"/>
    <m/>
    <m/>
    <m/>
    <m/>
    <m/>
    <m/>
    <m/>
    <m/>
    <m/>
    <m/>
    <m/>
    <m/>
    <m/>
    <m/>
    <m/>
    <m/>
    <m/>
    <m/>
    <m/>
    <m/>
    <n v="0"/>
    <m/>
    <m/>
  </r>
  <r>
    <x v="16"/>
    <x v="11"/>
    <m/>
    <m/>
    <m/>
    <m/>
    <m/>
    <m/>
    <m/>
    <m/>
    <m/>
    <m/>
    <m/>
    <m/>
    <m/>
    <m/>
    <m/>
    <m/>
    <m/>
    <m/>
    <m/>
    <m/>
    <n v="0"/>
    <m/>
    <m/>
  </r>
  <r>
    <x v="17"/>
    <x v="0"/>
    <m/>
    <m/>
    <m/>
    <m/>
    <m/>
    <m/>
    <m/>
    <m/>
    <m/>
    <m/>
    <m/>
    <m/>
    <m/>
    <m/>
    <m/>
    <m/>
    <m/>
    <m/>
    <m/>
    <m/>
    <n v="2.969076031126658"/>
    <m/>
    <m/>
  </r>
  <r>
    <x v="17"/>
    <x v="1"/>
    <m/>
    <m/>
    <m/>
    <m/>
    <m/>
    <m/>
    <m/>
    <m/>
    <m/>
    <m/>
    <m/>
    <m/>
    <m/>
    <m/>
    <m/>
    <m/>
    <m/>
    <m/>
    <m/>
    <m/>
    <n v="2.8235374712028269"/>
    <m/>
    <m/>
  </r>
  <r>
    <x v="17"/>
    <x v="2"/>
    <m/>
    <m/>
    <m/>
    <m/>
    <m/>
    <m/>
    <m/>
    <m/>
    <m/>
    <m/>
    <m/>
    <m/>
    <m/>
    <m/>
    <m/>
    <m/>
    <m/>
    <m/>
    <m/>
    <m/>
    <n v="2.692206053238682"/>
    <m/>
    <m/>
  </r>
  <r>
    <x v="17"/>
    <x v="3"/>
    <m/>
    <m/>
    <m/>
    <m/>
    <m/>
    <m/>
    <m/>
    <m/>
    <m/>
    <m/>
    <m/>
    <m/>
    <m/>
    <m/>
    <m/>
    <m/>
    <m/>
    <m/>
    <m/>
    <m/>
    <n v="2.6124394061960534"/>
    <m/>
    <m/>
  </r>
  <r>
    <x v="17"/>
    <x v="4"/>
    <m/>
    <m/>
    <m/>
    <m/>
    <m/>
    <m/>
    <m/>
    <m/>
    <m/>
    <m/>
    <m/>
    <m/>
    <m/>
    <m/>
    <m/>
    <m/>
    <m/>
    <m/>
    <m/>
    <m/>
    <n v="2.5823208334773318"/>
    <m/>
    <m/>
  </r>
  <r>
    <x v="17"/>
    <x v="5"/>
    <m/>
    <m/>
    <m/>
    <m/>
    <m/>
    <m/>
    <m/>
    <m/>
    <m/>
    <m/>
    <m/>
    <m/>
    <m/>
    <m/>
    <m/>
    <m/>
    <m/>
    <m/>
    <m/>
    <m/>
    <n v="2.5501835016466341"/>
    <m/>
    <m/>
  </r>
  <r>
    <x v="17"/>
    <x v="6"/>
    <m/>
    <m/>
    <m/>
    <m/>
    <m/>
    <m/>
    <m/>
    <m/>
    <m/>
    <m/>
    <m/>
    <m/>
    <m/>
    <m/>
    <m/>
    <m/>
    <m/>
    <m/>
    <m/>
    <m/>
    <n v="2.5180104679765383"/>
    <m/>
    <m/>
  </r>
  <r>
    <x v="17"/>
    <x v="9"/>
    <m/>
    <m/>
    <m/>
    <m/>
    <m/>
    <m/>
    <m/>
    <m/>
    <m/>
    <m/>
    <m/>
    <m/>
    <m/>
    <m/>
    <m/>
    <m/>
    <m/>
    <m/>
    <m/>
    <m/>
    <n v="0"/>
    <m/>
    <m/>
  </r>
  <r>
    <x v="17"/>
    <x v="10"/>
    <m/>
    <m/>
    <m/>
    <m/>
    <m/>
    <m/>
    <m/>
    <m/>
    <m/>
    <m/>
    <m/>
    <m/>
    <m/>
    <m/>
    <m/>
    <m/>
    <m/>
    <m/>
    <m/>
    <m/>
    <n v="0"/>
    <m/>
    <m/>
  </r>
  <r>
    <x v="17"/>
    <x v="11"/>
    <m/>
    <m/>
    <m/>
    <m/>
    <m/>
    <m/>
    <m/>
    <m/>
    <m/>
    <m/>
    <m/>
    <m/>
    <m/>
    <m/>
    <m/>
    <m/>
    <m/>
    <m/>
    <m/>
    <m/>
    <n v="0"/>
    <m/>
    <m/>
  </r>
  <r>
    <x v="18"/>
    <x v="0"/>
    <m/>
    <m/>
    <m/>
    <m/>
    <m/>
    <m/>
    <m/>
    <m/>
    <m/>
    <m/>
    <m/>
    <m/>
    <m/>
    <m/>
    <m/>
    <m/>
    <m/>
    <m/>
    <m/>
    <m/>
    <n v="2.462160611178204"/>
    <m/>
    <m/>
  </r>
  <r>
    <x v="18"/>
    <x v="1"/>
    <m/>
    <m/>
    <m/>
    <m/>
    <m/>
    <m/>
    <m/>
    <m/>
    <m/>
    <m/>
    <m/>
    <m/>
    <m/>
    <m/>
    <m/>
    <m/>
    <m/>
    <m/>
    <m/>
    <m/>
    <n v="2.3414700980706362"/>
    <m/>
    <m/>
  </r>
  <r>
    <x v="18"/>
    <x v="2"/>
    <m/>
    <m/>
    <m/>
    <m/>
    <m/>
    <m/>
    <m/>
    <m/>
    <m/>
    <m/>
    <m/>
    <m/>
    <m/>
    <m/>
    <m/>
    <m/>
    <m/>
    <m/>
    <m/>
    <m/>
    <n v="2.2325611173198823"/>
    <m/>
    <m/>
  </r>
  <r>
    <x v="18"/>
    <x v="3"/>
    <m/>
    <m/>
    <m/>
    <m/>
    <m/>
    <m/>
    <m/>
    <m/>
    <m/>
    <m/>
    <m/>
    <m/>
    <m/>
    <m/>
    <m/>
    <m/>
    <m/>
    <m/>
    <m/>
    <m/>
    <n v="2.1664131661138004"/>
    <m/>
    <m/>
  </r>
  <r>
    <x v="18"/>
    <x v="4"/>
    <m/>
    <m/>
    <m/>
    <m/>
    <m/>
    <m/>
    <m/>
    <m/>
    <m/>
    <m/>
    <m/>
    <m/>
    <m/>
    <m/>
    <m/>
    <m/>
    <m/>
    <m/>
    <m/>
    <m/>
    <n v="2.1414367887372987"/>
    <m/>
    <m/>
  </r>
  <r>
    <x v="18"/>
    <x v="5"/>
    <m/>
    <m/>
    <m/>
    <m/>
    <m/>
    <m/>
    <m/>
    <m/>
    <m/>
    <m/>
    <m/>
    <m/>
    <m/>
    <m/>
    <m/>
    <m/>
    <m/>
    <m/>
    <m/>
    <m/>
    <n v="2.1147863184386724"/>
    <m/>
    <m/>
  </r>
  <r>
    <x v="18"/>
    <x v="6"/>
    <m/>
    <m/>
    <m/>
    <m/>
    <m/>
    <m/>
    <m/>
    <m/>
    <m/>
    <m/>
    <m/>
    <m/>
    <m/>
    <m/>
    <m/>
    <m/>
    <m/>
    <m/>
    <m/>
    <m/>
    <n v="2.0881062417366412"/>
    <m/>
    <m/>
  </r>
  <r>
    <x v="18"/>
    <x v="9"/>
    <m/>
    <m/>
    <m/>
    <m/>
    <m/>
    <m/>
    <m/>
    <m/>
    <m/>
    <m/>
    <m/>
    <m/>
    <m/>
    <m/>
    <m/>
    <m/>
    <m/>
    <m/>
    <m/>
    <m/>
    <n v="0"/>
    <m/>
    <m/>
  </r>
  <r>
    <x v="18"/>
    <x v="10"/>
    <m/>
    <m/>
    <m/>
    <m/>
    <m/>
    <m/>
    <m/>
    <m/>
    <m/>
    <m/>
    <m/>
    <m/>
    <m/>
    <m/>
    <m/>
    <m/>
    <m/>
    <m/>
    <m/>
    <m/>
    <n v="0"/>
    <m/>
    <m/>
  </r>
  <r>
    <x v="18"/>
    <x v="11"/>
    <m/>
    <m/>
    <m/>
    <m/>
    <m/>
    <m/>
    <m/>
    <m/>
    <m/>
    <m/>
    <m/>
    <m/>
    <m/>
    <m/>
    <m/>
    <m/>
    <m/>
    <m/>
    <m/>
    <m/>
    <n v="0"/>
    <m/>
    <m/>
  </r>
  <r>
    <x v="19"/>
    <x v="0"/>
    <m/>
    <m/>
    <m/>
    <m/>
    <m/>
    <m/>
    <m/>
    <m/>
    <m/>
    <m/>
    <m/>
    <m/>
    <m/>
    <m/>
    <m/>
    <m/>
    <m/>
    <m/>
    <m/>
    <m/>
    <n v="157.66665486600002"/>
    <m/>
    <m/>
  </r>
  <r>
    <x v="19"/>
    <x v="1"/>
    <m/>
    <m/>
    <m/>
    <m/>
    <m/>
    <m/>
    <m/>
    <m/>
    <m/>
    <m/>
    <m/>
    <m/>
    <m/>
    <m/>
    <m/>
    <m/>
    <m/>
    <m/>
    <m/>
    <m/>
    <n v="152.66940045952001"/>
    <m/>
    <m/>
  </r>
  <r>
    <x v="19"/>
    <x v="2"/>
    <m/>
    <m/>
    <m/>
    <m/>
    <m/>
    <m/>
    <m/>
    <m/>
    <m/>
    <m/>
    <m/>
    <m/>
    <m/>
    <m/>
    <m/>
    <m/>
    <m/>
    <m/>
    <m/>
    <m/>
    <n v="148.40027504609441"/>
    <m/>
    <m/>
  </r>
  <r>
    <x v="19"/>
    <x v="3"/>
    <m/>
    <m/>
    <m/>
    <m/>
    <m/>
    <m/>
    <m/>
    <m/>
    <m/>
    <m/>
    <m/>
    <m/>
    <m/>
    <m/>
    <m/>
    <m/>
    <m/>
    <m/>
    <m/>
    <m/>
    <n v="143.98492142402986"/>
    <m/>
    <m/>
  </r>
  <r>
    <x v="19"/>
    <x v="4"/>
    <m/>
    <m/>
    <m/>
    <m/>
    <m/>
    <m/>
    <m/>
    <m/>
    <m/>
    <m/>
    <m/>
    <m/>
    <m/>
    <m/>
    <m/>
    <m/>
    <m/>
    <m/>
    <m/>
    <m/>
    <n v="142.02383726728115"/>
    <m/>
    <m/>
  </r>
  <r>
    <x v="19"/>
    <x v="5"/>
    <m/>
    <m/>
    <m/>
    <m/>
    <m/>
    <m/>
    <m/>
    <m/>
    <m/>
    <m/>
    <m/>
    <m/>
    <m/>
    <m/>
    <m/>
    <m/>
    <m/>
    <m/>
    <m/>
    <m/>
    <n v="139.63372143800621"/>
    <m/>
    <m/>
  </r>
  <r>
    <x v="19"/>
    <x v="6"/>
    <m/>
    <m/>
    <m/>
    <m/>
    <m/>
    <m/>
    <m/>
    <m/>
    <m/>
    <m/>
    <m/>
    <m/>
    <m/>
    <m/>
    <m/>
    <m/>
    <m/>
    <m/>
    <m/>
    <m/>
    <n v="137.22804057955619"/>
    <m/>
    <m/>
  </r>
  <r>
    <x v="19"/>
    <x v="9"/>
    <m/>
    <m/>
    <m/>
    <m/>
    <m/>
    <m/>
    <m/>
    <m/>
    <m/>
    <m/>
    <m/>
    <m/>
    <m/>
    <m/>
    <m/>
    <m/>
    <m/>
    <m/>
    <m/>
    <m/>
    <n v="0"/>
    <m/>
    <m/>
  </r>
  <r>
    <x v="19"/>
    <x v="10"/>
    <m/>
    <m/>
    <m/>
    <m/>
    <m/>
    <m/>
    <m/>
    <m/>
    <m/>
    <m/>
    <m/>
    <m/>
    <m/>
    <m/>
    <m/>
    <m/>
    <m/>
    <m/>
    <m/>
    <m/>
    <n v="0"/>
    <m/>
    <m/>
  </r>
  <r>
    <x v="19"/>
    <x v="11"/>
    <m/>
    <m/>
    <m/>
    <m/>
    <m/>
    <m/>
    <m/>
    <m/>
    <m/>
    <m/>
    <m/>
    <m/>
    <m/>
    <m/>
    <m/>
    <m/>
    <m/>
    <m/>
    <m/>
    <m/>
    <n v="0"/>
    <m/>
    <m/>
  </r>
  <r>
    <x v="20"/>
    <x v="0"/>
    <m/>
    <m/>
    <m/>
    <m/>
    <m/>
    <m/>
    <m/>
    <m/>
    <m/>
    <m/>
    <m/>
    <m/>
    <m/>
    <m/>
    <m/>
    <m/>
    <m/>
    <m/>
    <m/>
    <m/>
    <n v="157.09922814754023"/>
    <m/>
    <m/>
  </r>
  <r>
    <x v="20"/>
    <x v="1"/>
    <m/>
    <m/>
    <m/>
    <m/>
    <m/>
    <m/>
    <m/>
    <m/>
    <m/>
    <m/>
    <m/>
    <m/>
    <m/>
    <m/>
    <m/>
    <m/>
    <m/>
    <m/>
    <m/>
    <m/>
    <n v="151.59733999293704"/>
    <m/>
    <m/>
  </r>
  <r>
    <x v="20"/>
    <x v="2"/>
    <m/>
    <m/>
    <m/>
    <m/>
    <m/>
    <m/>
    <m/>
    <m/>
    <m/>
    <m/>
    <m/>
    <m/>
    <m/>
    <m/>
    <m/>
    <m/>
    <m/>
    <m/>
    <m/>
    <m/>
    <n v="146.38518694281905"/>
    <m/>
    <m/>
  </r>
  <r>
    <x v="20"/>
    <x v="3"/>
    <m/>
    <m/>
    <m/>
    <m/>
    <m/>
    <m/>
    <m/>
    <m/>
    <m/>
    <m/>
    <m/>
    <m/>
    <m/>
    <m/>
    <m/>
    <m/>
    <m/>
    <m/>
    <m/>
    <m/>
    <n v="143.16279064429926"/>
    <m/>
    <m/>
  </r>
  <r>
    <x v="20"/>
    <x v="4"/>
    <m/>
    <m/>
    <m/>
    <m/>
    <m/>
    <m/>
    <m/>
    <m/>
    <m/>
    <m/>
    <m/>
    <m/>
    <m/>
    <m/>
    <m/>
    <m/>
    <m/>
    <m/>
    <m/>
    <m/>
    <n v="142.3852936541382"/>
    <m/>
    <m/>
  </r>
  <r>
    <x v="20"/>
    <x v="5"/>
    <m/>
    <m/>
    <m/>
    <m/>
    <m/>
    <m/>
    <m/>
    <m/>
    <m/>
    <m/>
    <m/>
    <m/>
    <m/>
    <m/>
    <m/>
    <m/>
    <m/>
    <m/>
    <m/>
    <m/>
    <n v="141.4422014058606"/>
    <m/>
    <m/>
  </r>
  <r>
    <x v="20"/>
    <x v="6"/>
    <m/>
    <m/>
    <m/>
    <m/>
    <m/>
    <m/>
    <m/>
    <m/>
    <m/>
    <m/>
    <m/>
    <m/>
    <m/>
    <m/>
    <m/>
    <m/>
    <m/>
    <m/>
    <m/>
    <m/>
    <n v="139.04664049490111"/>
    <m/>
    <m/>
  </r>
  <r>
    <x v="20"/>
    <x v="9"/>
    <m/>
    <m/>
    <m/>
    <m/>
    <m/>
    <m/>
    <m/>
    <m/>
    <m/>
    <m/>
    <m/>
    <m/>
    <m/>
    <m/>
    <m/>
    <m/>
    <m/>
    <m/>
    <m/>
    <m/>
    <n v="0"/>
    <m/>
    <m/>
  </r>
  <r>
    <x v="20"/>
    <x v="10"/>
    <m/>
    <m/>
    <m/>
    <m/>
    <m/>
    <m/>
    <m/>
    <m/>
    <m/>
    <m/>
    <m/>
    <m/>
    <m/>
    <m/>
    <m/>
    <m/>
    <m/>
    <m/>
    <m/>
    <m/>
    <n v="0"/>
    <m/>
    <m/>
  </r>
  <r>
    <x v="20"/>
    <x v="11"/>
    <m/>
    <m/>
    <m/>
    <m/>
    <m/>
    <m/>
    <m/>
    <m/>
    <m/>
    <m/>
    <m/>
    <m/>
    <m/>
    <m/>
    <m/>
    <m/>
    <m/>
    <m/>
    <m/>
    <m/>
    <n v="0"/>
    <m/>
    <m/>
  </r>
  <r>
    <x v="21"/>
    <x v="0"/>
    <m/>
    <m/>
    <m/>
    <m/>
    <m/>
    <m/>
    <m/>
    <m/>
    <m/>
    <m/>
    <m/>
    <m/>
    <m/>
    <m/>
    <m/>
    <m/>
    <m/>
    <m/>
    <m/>
    <m/>
    <n v="26.319048603723719"/>
    <m/>
    <m/>
  </r>
  <r>
    <x v="21"/>
    <x v="1"/>
    <m/>
    <m/>
    <m/>
    <m/>
    <m/>
    <m/>
    <m/>
    <m/>
    <m/>
    <m/>
    <m/>
    <m/>
    <m/>
    <m/>
    <m/>
    <m/>
    <m/>
    <m/>
    <m/>
    <m/>
    <n v="25.028938013023293"/>
    <m/>
    <m/>
  </r>
  <r>
    <x v="21"/>
    <x v="2"/>
    <m/>
    <m/>
    <m/>
    <m/>
    <m/>
    <m/>
    <m/>
    <m/>
    <m/>
    <m/>
    <m/>
    <m/>
    <m/>
    <m/>
    <m/>
    <m/>
    <m/>
    <m/>
    <m/>
    <m/>
    <n v="23.864765072904056"/>
    <m/>
    <m/>
  </r>
  <r>
    <x v="21"/>
    <x v="3"/>
    <m/>
    <m/>
    <m/>
    <m/>
    <m/>
    <m/>
    <m/>
    <m/>
    <m/>
    <m/>
    <m/>
    <m/>
    <m/>
    <m/>
    <m/>
    <m/>
    <m/>
    <m/>
    <m/>
    <m/>
    <n v="23.157682385070576"/>
    <m/>
    <m/>
  </r>
  <r>
    <x v="21"/>
    <x v="4"/>
    <m/>
    <m/>
    <m/>
    <m/>
    <m/>
    <m/>
    <m/>
    <m/>
    <m/>
    <m/>
    <m/>
    <m/>
    <m/>
    <m/>
    <m/>
    <m/>
    <m/>
    <m/>
    <m/>
    <m/>
    <n v="22.890699602902469"/>
    <m/>
    <m/>
  </r>
  <r>
    <x v="21"/>
    <x v="5"/>
    <m/>
    <m/>
    <m/>
    <m/>
    <m/>
    <m/>
    <m/>
    <m/>
    <m/>
    <m/>
    <m/>
    <m/>
    <m/>
    <m/>
    <m/>
    <m/>
    <m/>
    <m/>
    <m/>
    <m/>
    <n v="22.605821752157389"/>
    <m/>
    <m/>
  </r>
  <r>
    <x v="21"/>
    <x v="6"/>
    <m/>
    <m/>
    <m/>
    <m/>
    <m/>
    <m/>
    <m/>
    <m/>
    <m/>
    <m/>
    <m/>
    <m/>
    <m/>
    <m/>
    <m/>
    <m/>
    <m/>
    <m/>
    <m/>
    <m/>
    <n v="22.320627426375445"/>
    <m/>
    <m/>
  </r>
  <r>
    <x v="21"/>
    <x v="9"/>
    <m/>
    <m/>
    <m/>
    <m/>
    <m/>
    <m/>
    <m/>
    <m/>
    <m/>
    <m/>
    <m/>
    <m/>
    <m/>
    <m/>
    <m/>
    <m/>
    <m/>
    <m/>
    <m/>
    <m/>
    <n v="0"/>
    <m/>
    <m/>
  </r>
  <r>
    <x v="21"/>
    <x v="10"/>
    <m/>
    <m/>
    <m/>
    <m/>
    <m/>
    <m/>
    <m/>
    <m/>
    <m/>
    <m/>
    <m/>
    <m/>
    <m/>
    <m/>
    <m/>
    <m/>
    <m/>
    <m/>
    <m/>
    <m/>
    <n v="0"/>
    <m/>
    <m/>
  </r>
  <r>
    <x v="21"/>
    <x v="11"/>
    <m/>
    <m/>
    <m/>
    <m/>
    <m/>
    <m/>
    <m/>
    <m/>
    <m/>
    <m/>
    <m/>
    <m/>
    <m/>
    <m/>
    <m/>
    <m/>
    <m/>
    <m/>
    <m/>
    <m/>
    <n v="0"/>
    <m/>
    <m/>
  </r>
  <r>
    <x v="22"/>
    <x v="0"/>
    <m/>
    <m/>
    <m/>
    <m/>
    <m/>
    <m/>
    <m/>
    <m/>
    <m/>
    <m/>
    <m/>
    <m/>
    <m/>
    <m/>
    <m/>
    <m/>
    <m/>
    <m/>
    <m/>
    <m/>
    <n v="125.96309729248001"/>
    <m/>
    <m/>
  </r>
  <r>
    <x v="22"/>
    <x v="1"/>
    <m/>
    <m/>
    <m/>
    <m/>
    <m/>
    <m/>
    <m/>
    <m/>
    <m/>
    <m/>
    <m/>
    <m/>
    <m/>
    <m/>
    <m/>
    <m/>
    <m/>
    <m/>
    <m/>
    <m/>
    <n v="126.67107363508482"/>
    <m/>
    <m/>
  </r>
  <r>
    <x v="22"/>
    <x v="2"/>
    <m/>
    <m/>
    <m/>
    <m/>
    <m/>
    <m/>
    <m/>
    <m/>
    <m/>
    <m/>
    <m/>
    <m/>
    <m/>
    <m/>
    <m/>
    <m/>
    <m/>
    <m/>
    <m/>
    <m/>
    <n v="115.68268308529527"/>
    <m/>
    <m/>
  </r>
  <r>
    <x v="22"/>
    <x v="3"/>
    <m/>
    <m/>
    <m/>
    <m/>
    <m/>
    <m/>
    <m/>
    <m/>
    <m/>
    <m/>
    <m/>
    <m/>
    <m/>
    <m/>
    <m/>
    <m/>
    <m/>
    <m/>
    <m/>
    <m/>
    <n v="105.34085820612954"/>
    <m/>
    <m/>
  </r>
  <r>
    <x v="22"/>
    <x v="4"/>
    <m/>
    <m/>
    <m/>
    <m/>
    <m/>
    <m/>
    <m/>
    <m/>
    <m/>
    <m/>
    <m/>
    <m/>
    <m/>
    <m/>
    <m/>
    <m/>
    <m/>
    <m/>
    <m/>
    <m/>
    <n v="106.40417171786451"/>
    <m/>
    <m/>
  </r>
  <r>
    <x v="22"/>
    <x v="5"/>
    <m/>
    <m/>
    <m/>
    <m/>
    <m/>
    <m/>
    <m/>
    <m/>
    <m/>
    <m/>
    <m/>
    <m/>
    <m/>
    <m/>
    <m/>
    <m/>
    <m/>
    <m/>
    <m/>
    <m/>
    <n v="107.73070738436483"/>
    <m/>
    <m/>
  </r>
  <r>
    <x v="22"/>
    <x v="6"/>
    <m/>
    <m/>
    <m/>
    <m/>
    <m/>
    <m/>
    <m/>
    <m/>
    <m/>
    <m/>
    <m/>
    <m/>
    <m/>
    <m/>
    <m/>
    <m/>
    <m/>
    <m/>
    <m/>
    <m/>
    <n v="108.85945093648283"/>
    <m/>
    <m/>
  </r>
  <r>
    <x v="22"/>
    <x v="9"/>
    <m/>
    <m/>
    <m/>
    <m/>
    <m/>
    <m/>
    <m/>
    <m/>
    <m/>
    <m/>
    <m/>
    <m/>
    <m/>
    <m/>
    <m/>
    <m/>
    <m/>
    <m/>
    <m/>
    <m/>
    <n v="0"/>
    <m/>
    <m/>
  </r>
  <r>
    <x v="22"/>
    <x v="10"/>
    <m/>
    <m/>
    <m/>
    <m/>
    <m/>
    <m/>
    <m/>
    <m/>
    <m/>
    <m/>
    <m/>
    <m/>
    <m/>
    <m/>
    <m/>
    <m/>
    <m/>
    <m/>
    <m/>
    <m/>
    <n v="0"/>
    <m/>
    <m/>
  </r>
  <r>
    <x v="22"/>
    <x v="11"/>
    <m/>
    <m/>
    <m/>
    <m/>
    <m/>
    <m/>
    <m/>
    <m/>
    <m/>
    <m/>
    <m/>
    <m/>
    <m/>
    <m/>
    <m/>
    <m/>
    <m/>
    <m/>
    <m/>
    <m/>
    <n v="0"/>
    <m/>
    <m/>
  </r>
  <r>
    <x v="23"/>
    <x v="0"/>
    <m/>
    <m/>
    <m/>
    <m/>
    <m/>
    <m/>
    <m/>
    <m/>
    <m/>
    <m/>
    <m/>
    <m/>
    <m/>
    <m/>
    <m/>
    <m/>
    <m/>
    <m/>
    <m/>
    <m/>
    <n v="16.953568970710343"/>
    <m/>
    <m/>
  </r>
  <r>
    <x v="23"/>
    <x v="1"/>
    <m/>
    <m/>
    <m/>
    <m/>
    <m/>
    <m/>
    <m/>
    <m/>
    <m/>
    <m/>
    <m/>
    <m/>
    <m/>
    <m/>
    <m/>
    <m/>
    <m/>
    <m/>
    <m/>
    <m/>
    <n v="16.122536694103324"/>
    <m/>
    <m/>
  </r>
  <r>
    <x v="23"/>
    <x v="2"/>
    <m/>
    <m/>
    <m/>
    <m/>
    <m/>
    <m/>
    <m/>
    <m/>
    <m/>
    <m/>
    <m/>
    <m/>
    <m/>
    <m/>
    <m/>
    <m/>
    <m/>
    <m/>
    <m/>
    <m/>
    <n v="15.372627891117423"/>
    <m/>
    <m/>
  </r>
  <r>
    <x v="23"/>
    <x v="3"/>
    <m/>
    <m/>
    <m/>
    <m/>
    <m/>
    <m/>
    <m/>
    <m/>
    <m/>
    <m/>
    <m/>
    <m/>
    <m/>
    <m/>
    <m/>
    <m/>
    <m/>
    <m/>
    <m/>
    <m/>
    <n v="14.917156445448065"/>
    <m/>
    <m/>
  </r>
  <r>
    <x v="23"/>
    <x v="4"/>
    <m/>
    <m/>
    <m/>
    <m/>
    <m/>
    <m/>
    <m/>
    <m/>
    <m/>
    <m/>
    <m/>
    <m/>
    <m/>
    <m/>
    <m/>
    <m/>
    <m/>
    <m/>
    <m/>
    <m/>
    <n v="14.745177926025489"/>
    <m/>
    <m/>
  </r>
  <r>
    <x v="23"/>
    <x v="5"/>
    <m/>
    <m/>
    <m/>
    <m/>
    <m/>
    <m/>
    <m/>
    <m/>
    <m/>
    <m/>
    <m/>
    <m/>
    <m/>
    <m/>
    <m/>
    <m/>
    <m/>
    <m/>
    <m/>
    <m/>
    <n v="14.561672193597493"/>
    <m/>
    <m/>
  </r>
  <r>
    <x v="23"/>
    <x v="6"/>
    <m/>
    <m/>
    <m/>
    <m/>
    <m/>
    <m/>
    <m/>
    <m/>
    <m/>
    <m/>
    <m/>
    <m/>
    <m/>
    <m/>
    <m/>
    <m/>
    <m/>
    <m/>
    <m/>
    <m/>
    <n v="14.377962601924958"/>
    <m/>
    <m/>
  </r>
  <r>
    <x v="23"/>
    <x v="9"/>
    <m/>
    <m/>
    <m/>
    <m/>
    <m/>
    <m/>
    <m/>
    <m/>
    <m/>
    <m/>
    <m/>
    <m/>
    <m/>
    <m/>
    <m/>
    <m/>
    <m/>
    <m/>
    <m/>
    <m/>
    <n v="0"/>
    <m/>
    <m/>
  </r>
  <r>
    <x v="23"/>
    <x v="10"/>
    <m/>
    <m/>
    <m/>
    <m/>
    <m/>
    <m/>
    <m/>
    <m/>
    <m/>
    <m/>
    <m/>
    <m/>
    <m/>
    <m/>
    <m/>
    <m/>
    <m/>
    <m/>
    <m/>
    <m/>
    <n v="0"/>
    <m/>
    <m/>
  </r>
  <r>
    <x v="23"/>
    <x v="11"/>
    <m/>
    <m/>
    <m/>
    <m/>
    <m/>
    <m/>
    <m/>
    <m/>
    <m/>
    <m/>
    <m/>
    <m/>
    <m/>
    <m/>
    <m/>
    <m/>
    <m/>
    <m/>
    <m/>
    <m/>
    <n v="0"/>
    <m/>
    <m/>
  </r>
  <r>
    <x v="24"/>
    <x v="0"/>
    <m/>
    <m/>
    <m/>
    <m/>
    <m/>
    <m/>
    <m/>
    <m/>
    <m/>
    <m/>
    <m/>
    <m/>
    <m/>
    <m/>
    <m/>
    <m/>
    <m/>
    <m/>
    <m/>
    <m/>
    <n v="7.1095611812656276"/>
    <m/>
    <m/>
  </r>
  <r>
    <x v="24"/>
    <x v="1"/>
    <m/>
    <m/>
    <m/>
    <m/>
    <m/>
    <m/>
    <m/>
    <m/>
    <m/>
    <m/>
    <m/>
    <m/>
    <m/>
    <m/>
    <m/>
    <m/>
    <m/>
    <m/>
    <m/>
    <m/>
    <n v="6.761063774946555"/>
    <m/>
    <m/>
  </r>
  <r>
    <x v="24"/>
    <x v="2"/>
    <m/>
    <m/>
    <m/>
    <m/>
    <m/>
    <m/>
    <m/>
    <m/>
    <m/>
    <m/>
    <m/>
    <m/>
    <m/>
    <m/>
    <m/>
    <m/>
    <m/>
    <m/>
    <m/>
    <m/>
    <n v="6.4465858898234352"/>
    <m/>
    <m/>
  </r>
  <r>
    <x v="24"/>
    <x v="3"/>
    <m/>
    <m/>
    <m/>
    <m/>
    <m/>
    <m/>
    <m/>
    <m/>
    <m/>
    <m/>
    <m/>
    <m/>
    <m/>
    <m/>
    <m/>
    <m/>
    <m/>
    <m/>
    <m/>
    <m/>
    <n v="6.2555817351878975"/>
    <m/>
    <m/>
  </r>
  <r>
    <x v="24"/>
    <x v="4"/>
    <m/>
    <m/>
    <m/>
    <m/>
    <m/>
    <m/>
    <m/>
    <m/>
    <m/>
    <m/>
    <m/>
    <m/>
    <m/>
    <m/>
    <m/>
    <m/>
    <m/>
    <m/>
    <m/>
    <m/>
    <n v="6.1834617109139156"/>
    <m/>
    <m/>
  </r>
  <r>
    <x v="24"/>
    <x v="5"/>
    <m/>
    <m/>
    <m/>
    <m/>
    <m/>
    <m/>
    <m/>
    <m/>
    <m/>
    <m/>
    <m/>
    <m/>
    <m/>
    <m/>
    <m/>
    <m/>
    <m/>
    <m/>
    <m/>
    <m/>
    <n v="6.1065076940892702"/>
    <m/>
    <m/>
  </r>
  <r>
    <x v="24"/>
    <x v="6"/>
    <m/>
    <m/>
    <m/>
    <m/>
    <m/>
    <m/>
    <m/>
    <m/>
    <m/>
    <m/>
    <m/>
    <m/>
    <m/>
    <m/>
    <m/>
    <m/>
    <m/>
    <m/>
    <m/>
    <m/>
    <n v="6.0294681879040155"/>
    <m/>
    <m/>
  </r>
  <r>
    <x v="24"/>
    <x v="9"/>
    <m/>
    <m/>
    <m/>
    <m/>
    <m/>
    <m/>
    <m/>
    <m/>
    <m/>
    <m/>
    <m/>
    <m/>
    <m/>
    <m/>
    <m/>
    <m/>
    <m/>
    <m/>
    <m/>
    <m/>
    <n v="0"/>
    <m/>
    <m/>
  </r>
  <r>
    <x v="24"/>
    <x v="10"/>
    <m/>
    <m/>
    <m/>
    <m/>
    <m/>
    <m/>
    <m/>
    <m/>
    <m/>
    <m/>
    <m/>
    <m/>
    <m/>
    <m/>
    <m/>
    <m/>
    <m/>
    <m/>
    <m/>
    <m/>
    <n v="0"/>
    <m/>
    <m/>
  </r>
  <r>
    <x v="24"/>
    <x v="11"/>
    <m/>
    <m/>
    <m/>
    <m/>
    <m/>
    <m/>
    <m/>
    <m/>
    <m/>
    <m/>
    <m/>
    <m/>
    <m/>
    <m/>
    <m/>
    <m/>
    <m/>
    <m/>
    <m/>
    <m/>
    <n v="0"/>
    <m/>
    <m/>
  </r>
  <r>
    <x v="25"/>
    <x v="0"/>
    <m/>
    <m/>
    <m/>
    <m/>
    <m/>
    <m/>
    <m/>
    <m/>
    <m/>
    <m/>
    <m/>
    <m/>
    <m/>
    <m/>
    <m/>
    <m/>
    <m/>
    <m/>
    <m/>
    <m/>
    <n v="96.171021349200004"/>
    <m/>
    <m/>
  </r>
  <r>
    <x v="25"/>
    <x v="1"/>
    <m/>
    <m/>
    <m/>
    <m/>
    <m/>
    <m/>
    <m/>
    <m/>
    <m/>
    <m/>
    <m/>
    <m/>
    <m/>
    <m/>
    <m/>
    <m/>
    <m/>
    <m/>
    <m/>
    <m/>
    <n v="96.674996207804014"/>
    <m/>
    <m/>
  </r>
  <r>
    <x v="25"/>
    <x v="2"/>
    <m/>
    <m/>
    <m/>
    <m/>
    <m/>
    <m/>
    <m/>
    <m/>
    <m/>
    <m/>
    <m/>
    <m/>
    <m/>
    <m/>
    <m/>
    <m/>
    <m/>
    <m/>
    <m/>
    <m/>
    <n v="93.894161286789384"/>
    <m/>
    <m/>
  </r>
  <r>
    <x v="25"/>
    <x v="3"/>
    <m/>
    <m/>
    <m/>
    <m/>
    <m/>
    <m/>
    <m/>
    <m/>
    <m/>
    <m/>
    <m/>
    <m/>
    <m/>
    <m/>
    <m/>
    <m/>
    <m/>
    <m/>
    <m/>
    <m/>
    <n v="93.721711192202477"/>
    <m/>
    <m/>
  </r>
  <r>
    <x v="25"/>
    <x v="4"/>
    <m/>
    <m/>
    <m/>
    <m/>
    <m/>
    <m/>
    <m/>
    <m/>
    <m/>
    <m/>
    <m/>
    <m/>
    <m/>
    <m/>
    <m/>
    <m/>
    <m/>
    <m/>
    <m/>
    <m/>
    <n v="91.866033199448893"/>
    <m/>
    <m/>
  </r>
  <r>
    <x v="25"/>
    <x v="5"/>
    <m/>
    <m/>
    <m/>
    <m/>
    <m/>
    <m/>
    <m/>
    <m/>
    <m/>
    <m/>
    <m/>
    <m/>
    <m/>
    <m/>
    <m/>
    <m/>
    <m/>
    <m/>
    <m/>
    <m/>
    <n v="90.357520669919396"/>
    <m/>
    <m/>
  </r>
  <r>
    <x v="25"/>
    <x v="6"/>
    <m/>
    <m/>
    <m/>
    <m/>
    <m/>
    <m/>
    <m/>
    <m/>
    <m/>
    <m/>
    <m/>
    <m/>
    <m/>
    <m/>
    <m/>
    <m/>
    <m/>
    <m/>
    <m/>
    <m/>
    <n v="88.995345565197667"/>
    <m/>
    <m/>
  </r>
  <r>
    <x v="25"/>
    <x v="9"/>
    <m/>
    <m/>
    <m/>
    <m/>
    <m/>
    <m/>
    <m/>
    <m/>
    <m/>
    <m/>
    <m/>
    <m/>
    <m/>
    <m/>
    <m/>
    <m/>
    <m/>
    <m/>
    <m/>
    <m/>
    <n v="0"/>
    <m/>
    <m/>
  </r>
  <r>
    <x v="25"/>
    <x v="10"/>
    <m/>
    <m/>
    <m/>
    <m/>
    <m/>
    <m/>
    <m/>
    <m/>
    <m/>
    <m/>
    <m/>
    <m/>
    <m/>
    <m/>
    <m/>
    <m/>
    <m/>
    <m/>
    <m/>
    <m/>
    <n v="0"/>
    <m/>
    <m/>
  </r>
  <r>
    <x v="25"/>
    <x v="11"/>
    <m/>
    <m/>
    <m/>
    <m/>
    <m/>
    <m/>
    <m/>
    <m/>
    <m/>
    <m/>
    <m/>
    <m/>
    <m/>
    <m/>
    <m/>
    <m/>
    <m/>
    <m/>
    <m/>
    <m/>
    <n v="0"/>
    <m/>
    <m/>
  </r>
  <r>
    <x v="26"/>
    <x v="0"/>
    <m/>
    <m/>
    <m/>
    <m/>
    <m/>
    <m/>
    <m/>
    <m/>
    <m/>
    <m/>
    <m/>
    <m/>
    <m/>
    <m/>
    <m/>
    <m/>
    <m/>
    <m/>
    <m/>
    <m/>
    <n v="46.636218635257748"/>
    <m/>
    <m/>
  </r>
  <r>
    <x v="26"/>
    <x v="1"/>
    <m/>
    <m/>
    <m/>
    <m/>
    <m/>
    <m/>
    <m/>
    <m/>
    <m/>
    <m/>
    <m/>
    <m/>
    <m/>
    <m/>
    <m/>
    <m/>
    <m/>
    <m/>
    <m/>
    <m/>
    <n v="44.350198328161468"/>
    <m/>
    <m/>
  </r>
  <r>
    <x v="26"/>
    <x v="2"/>
    <m/>
    <m/>
    <m/>
    <m/>
    <m/>
    <m/>
    <m/>
    <m/>
    <m/>
    <m/>
    <m/>
    <m/>
    <m/>
    <m/>
    <m/>
    <m/>
    <m/>
    <m/>
    <m/>
    <m/>
    <n v="42.287334104529528"/>
    <m/>
    <m/>
  </r>
  <r>
    <x v="26"/>
    <x v="3"/>
    <m/>
    <m/>
    <m/>
    <m/>
    <m/>
    <m/>
    <m/>
    <m/>
    <m/>
    <m/>
    <m/>
    <m/>
    <m/>
    <m/>
    <m/>
    <m/>
    <m/>
    <m/>
    <m/>
    <m/>
    <n v="41.034414087567285"/>
    <m/>
    <m/>
  </r>
  <r>
    <x v="26"/>
    <x v="4"/>
    <m/>
    <m/>
    <m/>
    <m/>
    <m/>
    <m/>
    <m/>
    <m/>
    <m/>
    <m/>
    <m/>
    <m/>
    <m/>
    <m/>
    <m/>
    <m/>
    <m/>
    <m/>
    <m/>
    <m/>
    <n v="40.561332116082959"/>
    <m/>
    <m/>
  </r>
  <r>
    <x v="26"/>
    <x v="5"/>
    <m/>
    <m/>
    <m/>
    <m/>
    <m/>
    <m/>
    <m/>
    <m/>
    <m/>
    <m/>
    <m/>
    <m/>
    <m/>
    <m/>
    <m/>
    <m/>
    <m/>
    <m/>
    <m/>
    <m/>
    <n v="40.056540855132496"/>
    <m/>
    <m/>
  </r>
  <r>
    <x v="26"/>
    <x v="6"/>
    <m/>
    <m/>
    <m/>
    <m/>
    <m/>
    <m/>
    <m/>
    <m/>
    <m/>
    <m/>
    <m/>
    <m/>
    <m/>
    <m/>
    <m/>
    <m/>
    <m/>
    <m/>
    <m/>
    <m/>
    <n v="39.5511888140705"/>
    <m/>
    <m/>
  </r>
  <r>
    <x v="26"/>
    <x v="9"/>
    <m/>
    <m/>
    <m/>
    <m/>
    <m/>
    <m/>
    <m/>
    <m/>
    <m/>
    <m/>
    <m/>
    <m/>
    <m/>
    <m/>
    <m/>
    <m/>
    <m/>
    <m/>
    <m/>
    <m/>
    <n v="0"/>
    <m/>
    <m/>
  </r>
  <r>
    <x v="26"/>
    <x v="10"/>
    <m/>
    <m/>
    <m/>
    <m/>
    <m/>
    <m/>
    <m/>
    <m/>
    <m/>
    <m/>
    <m/>
    <m/>
    <m/>
    <m/>
    <m/>
    <m/>
    <m/>
    <m/>
    <m/>
    <m/>
    <n v="0"/>
    <m/>
    <m/>
  </r>
  <r>
    <x v="26"/>
    <x v="11"/>
    <m/>
    <m/>
    <m/>
    <m/>
    <m/>
    <m/>
    <m/>
    <m/>
    <m/>
    <m/>
    <m/>
    <m/>
    <m/>
    <m/>
    <m/>
    <m/>
    <m/>
    <m/>
    <m/>
    <m/>
    <n v="0"/>
    <m/>
    <m/>
  </r>
  <r>
    <x v="27"/>
    <x v="0"/>
    <m/>
    <m/>
    <m/>
    <m/>
    <m/>
    <m/>
    <m/>
    <m/>
    <m/>
    <m/>
    <m/>
    <m/>
    <m/>
    <m/>
    <m/>
    <m/>
    <m/>
    <m/>
    <m/>
    <m/>
    <n v="2943.5095943465299"/>
    <m/>
    <m/>
  </r>
  <r>
    <x v="27"/>
    <x v="1"/>
    <m/>
    <m/>
    <m/>
    <m/>
    <m/>
    <m/>
    <m/>
    <m/>
    <m/>
    <m/>
    <m/>
    <m/>
    <m/>
    <m/>
    <m/>
    <m/>
    <m/>
    <m/>
    <m/>
    <m/>
    <n v="2741.7046044800022"/>
    <m/>
    <m/>
  </r>
  <r>
    <x v="27"/>
    <x v="2"/>
    <m/>
    <m/>
    <m/>
    <m/>
    <m/>
    <m/>
    <m/>
    <m/>
    <m/>
    <m/>
    <m/>
    <m/>
    <m/>
    <m/>
    <m/>
    <m/>
    <m/>
    <m/>
    <m/>
    <m/>
    <n v="2597.2702044545404"/>
    <m/>
    <m/>
  </r>
  <r>
    <x v="27"/>
    <x v="3"/>
    <m/>
    <m/>
    <m/>
    <m/>
    <m/>
    <m/>
    <m/>
    <m/>
    <m/>
    <m/>
    <m/>
    <m/>
    <m/>
    <m/>
    <m/>
    <m/>
    <m/>
    <m/>
    <m/>
    <m/>
    <n v="2517.3980145731466"/>
    <m/>
    <m/>
  </r>
  <r>
    <x v="27"/>
    <x v="4"/>
    <m/>
    <m/>
    <m/>
    <m/>
    <m/>
    <m/>
    <m/>
    <m/>
    <m/>
    <m/>
    <m/>
    <m/>
    <m/>
    <m/>
    <m/>
    <m/>
    <m/>
    <m/>
    <m/>
    <m/>
    <n v="2491.6799178404904"/>
    <m/>
    <m/>
  </r>
  <r>
    <x v="27"/>
    <x v="5"/>
    <m/>
    <m/>
    <m/>
    <m/>
    <m/>
    <m/>
    <m/>
    <m/>
    <m/>
    <m/>
    <m/>
    <m/>
    <m/>
    <m/>
    <m/>
    <m/>
    <m/>
    <m/>
    <m/>
    <m/>
    <n v="2463.014362239725"/>
    <m/>
    <m/>
  </r>
  <r>
    <x v="27"/>
    <x v="6"/>
    <m/>
    <m/>
    <m/>
    <m/>
    <m/>
    <m/>
    <m/>
    <m/>
    <m/>
    <m/>
    <m/>
    <m/>
    <m/>
    <m/>
    <m/>
    <m/>
    <m/>
    <m/>
    <m/>
    <m/>
    <n v="2433.4699919791374"/>
    <m/>
    <m/>
  </r>
  <r>
    <x v="27"/>
    <x v="9"/>
    <m/>
    <m/>
    <m/>
    <m/>
    <m/>
    <m/>
    <m/>
    <m/>
    <m/>
    <m/>
    <m/>
    <m/>
    <m/>
    <m/>
    <m/>
    <m/>
    <m/>
    <m/>
    <m/>
    <m/>
    <n v="0"/>
    <m/>
    <m/>
  </r>
  <r>
    <x v="27"/>
    <x v="10"/>
    <m/>
    <m/>
    <m/>
    <m/>
    <m/>
    <m/>
    <m/>
    <m/>
    <m/>
    <m/>
    <m/>
    <m/>
    <m/>
    <m/>
    <m/>
    <m/>
    <m/>
    <m/>
    <m/>
    <m/>
    <n v="0"/>
    <m/>
    <m/>
  </r>
  <r>
    <x v="27"/>
    <x v="11"/>
    <m/>
    <m/>
    <m/>
    <m/>
    <m/>
    <m/>
    <m/>
    <m/>
    <m/>
    <m/>
    <m/>
    <m/>
    <m/>
    <m/>
    <m/>
    <m/>
    <m/>
    <m/>
    <m/>
    <m/>
    <n v="0"/>
    <m/>
    <m/>
  </r>
  <r>
    <x v="0"/>
    <x v="0"/>
    <m/>
    <m/>
    <m/>
    <m/>
    <m/>
    <m/>
    <m/>
    <m/>
    <m/>
    <m/>
    <m/>
    <m/>
    <m/>
    <m/>
    <m/>
    <m/>
    <m/>
    <m/>
    <m/>
    <m/>
    <m/>
    <n v="512.13218606040073"/>
    <m/>
  </r>
  <r>
    <x v="0"/>
    <x v="1"/>
    <m/>
    <m/>
    <m/>
    <m/>
    <m/>
    <m/>
    <m/>
    <m/>
    <m/>
    <m/>
    <m/>
    <m/>
    <m/>
    <m/>
    <m/>
    <m/>
    <m/>
    <m/>
    <m/>
    <m/>
    <m/>
    <n v="605.8788527270674"/>
    <m/>
  </r>
  <r>
    <x v="0"/>
    <x v="2"/>
    <m/>
    <m/>
    <m/>
    <m/>
    <m/>
    <m/>
    <m/>
    <m/>
    <m/>
    <m/>
    <m/>
    <m/>
    <m/>
    <m/>
    <m/>
    <m/>
    <m/>
    <m/>
    <m/>
    <m/>
    <m/>
    <n v="1120.572837518944"/>
    <m/>
  </r>
  <r>
    <x v="0"/>
    <x v="3"/>
    <m/>
    <m/>
    <m/>
    <m/>
    <m/>
    <m/>
    <m/>
    <m/>
    <m/>
    <m/>
    <m/>
    <m/>
    <m/>
    <m/>
    <m/>
    <m/>
    <m/>
    <m/>
    <m/>
    <m/>
    <m/>
    <n v="1465.1854438883104"/>
    <m/>
  </r>
  <r>
    <x v="0"/>
    <x v="4"/>
    <m/>
    <m/>
    <m/>
    <m/>
    <m/>
    <m/>
    <m/>
    <m/>
    <m/>
    <m/>
    <m/>
    <m/>
    <m/>
    <m/>
    <m/>
    <m/>
    <m/>
    <m/>
    <m/>
    <m/>
    <m/>
    <n v="1250.7077736830702"/>
    <m/>
  </r>
  <r>
    <x v="0"/>
    <x v="5"/>
    <m/>
    <m/>
    <m/>
    <m/>
    <m/>
    <m/>
    <m/>
    <m/>
    <m/>
    <m/>
    <m/>
    <m/>
    <m/>
    <m/>
    <m/>
    <m/>
    <m/>
    <m/>
    <m/>
    <m/>
    <m/>
    <n v="1380.8916109777506"/>
    <m/>
  </r>
  <r>
    <x v="0"/>
    <x v="6"/>
    <m/>
    <m/>
    <m/>
    <m/>
    <m/>
    <m/>
    <m/>
    <m/>
    <m/>
    <m/>
    <m/>
    <m/>
    <m/>
    <m/>
    <m/>
    <m/>
    <m/>
    <m/>
    <m/>
    <m/>
    <m/>
    <n v="978.02442320079115"/>
    <m/>
  </r>
  <r>
    <x v="1"/>
    <x v="0"/>
    <m/>
    <m/>
    <m/>
    <m/>
    <m/>
    <m/>
    <m/>
    <m/>
    <m/>
    <m/>
    <m/>
    <m/>
    <m/>
    <m/>
    <m/>
    <m/>
    <m/>
    <m/>
    <m/>
    <m/>
    <m/>
    <n v="786.68932131673239"/>
    <m/>
  </r>
  <r>
    <x v="1"/>
    <x v="1"/>
    <m/>
    <m/>
    <m/>
    <m/>
    <m/>
    <m/>
    <m/>
    <m/>
    <m/>
    <m/>
    <m/>
    <m/>
    <m/>
    <m/>
    <m/>
    <m/>
    <m/>
    <m/>
    <m/>
    <m/>
    <m/>
    <n v="1055.2893213167322"/>
    <m/>
  </r>
  <r>
    <x v="1"/>
    <x v="2"/>
    <m/>
    <m/>
    <m/>
    <m/>
    <m/>
    <m/>
    <m/>
    <m/>
    <m/>
    <m/>
    <m/>
    <m/>
    <m/>
    <m/>
    <m/>
    <m/>
    <m/>
    <m/>
    <m/>
    <m/>
    <m/>
    <n v="1743.537069796422"/>
    <m/>
  </r>
  <r>
    <x v="1"/>
    <x v="3"/>
    <m/>
    <m/>
    <m/>
    <m/>
    <m/>
    <m/>
    <m/>
    <m/>
    <m/>
    <m/>
    <m/>
    <m/>
    <m/>
    <m/>
    <m/>
    <m/>
    <m/>
    <m/>
    <m/>
    <m/>
    <m/>
    <n v="2236.1396919947761"/>
    <m/>
  </r>
  <r>
    <x v="1"/>
    <x v="4"/>
    <m/>
    <m/>
    <m/>
    <m/>
    <m/>
    <m/>
    <m/>
    <m/>
    <m/>
    <m/>
    <m/>
    <m/>
    <m/>
    <m/>
    <m/>
    <m/>
    <m/>
    <m/>
    <m/>
    <m/>
    <m/>
    <n v="1925.4321638602196"/>
    <m/>
  </r>
  <r>
    <x v="1"/>
    <x v="5"/>
    <m/>
    <m/>
    <m/>
    <m/>
    <m/>
    <m/>
    <m/>
    <m/>
    <m/>
    <m/>
    <m/>
    <m/>
    <m/>
    <m/>
    <m/>
    <m/>
    <m/>
    <m/>
    <m/>
    <m/>
    <m/>
    <n v="2108.6687531662528"/>
    <m/>
  </r>
  <r>
    <x v="1"/>
    <x v="6"/>
    <m/>
    <m/>
    <m/>
    <m/>
    <m/>
    <m/>
    <m/>
    <m/>
    <m/>
    <m/>
    <m/>
    <m/>
    <m/>
    <m/>
    <m/>
    <m/>
    <m/>
    <m/>
    <m/>
    <m/>
    <m/>
    <n v="1524.7375858002661"/>
    <m/>
  </r>
  <r>
    <x v="2"/>
    <x v="0"/>
    <m/>
    <m/>
    <m/>
    <m/>
    <m/>
    <m/>
    <m/>
    <m/>
    <m/>
    <m/>
    <m/>
    <m/>
    <m/>
    <m/>
    <m/>
    <m/>
    <m/>
    <m/>
    <m/>
    <m/>
    <m/>
    <n v="315.80029887523727"/>
    <m/>
  </r>
  <r>
    <x v="2"/>
    <x v="1"/>
    <m/>
    <m/>
    <m/>
    <m/>
    <m/>
    <m/>
    <m/>
    <m/>
    <m/>
    <m/>
    <m/>
    <m/>
    <m/>
    <m/>
    <m/>
    <m/>
    <m/>
    <m/>
    <m/>
    <m/>
    <m/>
    <n v="721.33363220857063"/>
    <m/>
  </r>
  <r>
    <x v="2"/>
    <x v="2"/>
    <m/>
    <m/>
    <m/>
    <m/>
    <m/>
    <m/>
    <m/>
    <m/>
    <m/>
    <m/>
    <m/>
    <m/>
    <m/>
    <m/>
    <m/>
    <m/>
    <m/>
    <m/>
    <m/>
    <m/>
    <m/>
    <n v="752.99618536486923"/>
    <m/>
  </r>
  <r>
    <x v="2"/>
    <x v="3"/>
    <m/>
    <m/>
    <m/>
    <m/>
    <m/>
    <m/>
    <m/>
    <m/>
    <m/>
    <m/>
    <m/>
    <m/>
    <m/>
    <m/>
    <m/>
    <m/>
    <m/>
    <m/>
    <m/>
    <m/>
    <m/>
    <n v="862.90928449692228"/>
    <m/>
  </r>
  <r>
    <x v="2"/>
    <x v="4"/>
    <m/>
    <m/>
    <m/>
    <m/>
    <m/>
    <m/>
    <m/>
    <m/>
    <m/>
    <m/>
    <m/>
    <m/>
    <m/>
    <m/>
    <m/>
    <m/>
    <m/>
    <m/>
    <m/>
    <m/>
    <m/>
    <n v="782.99056010437437"/>
    <m/>
  </r>
  <r>
    <x v="2"/>
    <x v="5"/>
    <m/>
    <m/>
    <m/>
    <m/>
    <m/>
    <m/>
    <m/>
    <m/>
    <m/>
    <m/>
    <m/>
    <m/>
    <m/>
    <m/>
    <m/>
    <m/>
    <m/>
    <m/>
    <m/>
    <m/>
    <m/>
    <n v="816.54935067466499"/>
    <m/>
  </r>
  <r>
    <x v="2"/>
    <x v="6"/>
    <m/>
    <m/>
    <m/>
    <m/>
    <m/>
    <m/>
    <m/>
    <m/>
    <m/>
    <m/>
    <m/>
    <m/>
    <m/>
    <m/>
    <m/>
    <m/>
    <m/>
    <m/>
    <m/>
    <m/>
    <m/>
    <n v="665.56979442376075"/>
    <m/>
  </r>
  <r>
    <x v="3"/>
    <x v="0"/>
    <m/>
    <m/>
    <m/>
    <m/>
    <m/>
    <m/>
    <m/>
    <m/>
    <m/>
    <m/>
    <m/>
    <m/>
    <m/>
    <m/>
    <m/>
    <m/>
    <m/>
    <m/>
    <m/>
    <m/>
    <m/>
    <n v="198.60388332457524"/>
    <m/>
  </r>
  <r>
    <x v="3"/>
    <x v="1"/>
    <m/>
    <m/>
    <m/>
    <m/>
    <m/>
    <m/>
    <m/>
    <m/>
    <m/>
    <m/>
    <m/>
    <m/>
    <m/>
    <m/>
    <m/>
    <m/>
    <m/>
    <m/>
    <m/>
    <m/>
    <m/>
    <n v="402.95054999124187"/>
    <m/>
  </r>
  <r>
    <x v="3"/>
    <x v="2"/>
    <m/>
    <m/>
    <m/>
    <m/>
    <m/>
    <m/>
    <m/>
    <m/>
    <m/>
    <m/>
    <m/>
    <m/>
    <m/>
    <m/>
    <m/>
    <m/>
    <m/>
    <m/>
    <m/>
    <m/>
    <m/>
    <n v="464.51313209638192"/>
    <m/>
  </r>
  <r>
    <x v="3"/>
    <x v="3"/>
    <m/>
    <m/>
    <m/>
    <m/>
    <m/>
    <m/>
    <m/>
    <m/>
    <m/>
    <m/>
    <m/>
    <m/>
    <m/>
    <m/>
    <m/>
    <m/>
    <m/>
    <m/>
    <m/>
    <m/>
    <m/>
    <n v="548.59120030607369"/>
    <m/>
  </r>
  <r>
    <x v="3"/>
    <x v="4"/>
    <m/>
    <m/>
    <m/>
    <m/>
    <m/>
    <m/>
    <m/>
    <m/>
    <m/>
    <m/>
    <m/>
    <m/>
    <m/>
    <m/>
    <m/>
    <m/>
    <m/>
    <m/>
    <m/>
    <m/>
    <m/>
    <n v="490.70174444602071"/>
    <m/>
  </r>
  <r>
    <x v="3"/>
    <x v="5"/>
    <m/>
    <m/>
    <m/>
    <m/>
    <m/>
    <m/>
    <m/>
    <m/>
    <m/>
    <m/>
    <m/>
    <m/>
    <m/>
    <m/>
    <m/>
    <m/>
    <m/>
    <m/>
    <m/>
    <m/>
    <m/>
    <n v="518.61677997453364"/>
    <m/>
  </r>
  <r>
    <x v="3"/>
    <x v="6"/>
    <m/>
    <m/>
    <m/>
    <m/>
    <m/>
    <m/>
    <m/>
    <m/>
    <m/>
    <m/>
    <m/>
    <m/>
    <m/>
    <m/>
    <m/>
    <m/>
    <m/>
    <m/>
    <m/>
    <m/>
    <m/>
    <n v="409.46232693688904"/>
    <m/>
  </r>
  <r>
    <x v="4"/>
    <x v="0"/>
    <m/>
    <m/>
    <m/>
    <m/>
    <m/>
    <m/>
    <m/>
    <m/>
    <m/>
    <m/>
    <m/>
    <m/>
    <m/>
    <m/>
    <m/>
    <m/>
    <m/>
    <m/>
    <m/>
    <m/>
    <m/>
    <n v="42.225467032553162"/>
    <m/>
  </r>
  <r>
    <x v="4"/>
    <x v="1"/>
    <m/>
    <m/>
    <m/>
    <m/>
    <m/>
    <m/>
    <m/>
    <m/>
    <m/>
    <m/>
    <m/>
    <m/>
    <m/>
    <m/>
    <m/>
    <m/>
    <m/>
    <m/>
    <m/>
    <m/>
    <m/>
    <n v="63.292133699219832"/>
    <m/>
  </r>
  <r>
    <x v="4"/>
    <x v="2"/>
    <m/>
    <m/>
    <m/>
    <m/>
    <m/>
    <m/>
    <m/>
    <m/>
    <m/>
    <m/>
    <m/>
    <m/>
    <m/>
    <m/>
    <m/>
    <m/>
    <m/>
    <m/>
    <m/>
    <m/>
    <m/>
    <n v="94.769956872191855"/>
    <m/>
  </r>
  <r>
    <x v="4"/>
    <x v="3"/>
    <m/>
    <m/>
    <m/>
    <m/>
    <m/>
    <m/>
    <m/>
    <m/>
    <m/>
    <m/>
    <m/>
    <m/>
    <m/>
    <m/>
    <m/>
    <m/>
    <m/>
    <m/>
    <m/>
    <m/>
    <m/>
    <n v="119.24854655912694"/>
    <m/>
  </r>
  <r>
    <x v="4"/>
    <x v="4"/>
    <m/>
    <m/>
    <m/>
    <m/>
    <m/>
    <m/>
    <m/>
    <m/>
    <m/>
    <m/>
    <m/>
    <m/>
    <m/>
    <m/>
    <m/>
    <m/>
    <m/>
    <m/>
    <m/>
    <m/>
    <m/>
    <n v="103.57218682424096"/>
    <m/>
  </r>
  <r>
    <x v="4"/>
    <x v="5"/>
    <m/>
    <m/>
    <m/>
    <m/>
    <m/>
    <m/>
    <m/>
    <m/>
    <m/>
    <m/>
    <m/>
    <m/>
    <m/>
    <m/>
    <m/>
    <m/>
    <m/>
    <m/>
    <m/>
    <m/>
    <m/>
    <n v="112.51400742206501"/>
    <m/>
  </r>
  <r>
    <x v="4"/>
    <x v="6"/>
    <m/>
    <m/>
    <m/>
    <m/>
    <m/>
    <m/>
    <m/>
    <m/>
    <m/>
    <m/>
    <m/>
    <m/>
    <m/>
    <m/>
    <m/>
    <m/>
    <m/>
    <m/>
    <m/>
    <m/>
    <m/>
    <n v="83.034989737854261"/>
    <m/>
  </r>
  <r>
    <x v="5"/>
    <x v="0"/>
    <m/>
    <m/>
    <m/>
    <m/>
    <m/>
    <m/>
    <m/>
    <m/>
    <m/>
    <m/>
    <m/>
    <m/>
    <m/>
    <m/>
    <m/>
    <m/>
    <m/>
    <m/>
    <m/>
    <m/>
    <m/>
    <n v="547.93081417472126"/>
    <m/>
  </r>
  <r>
    <x v="5"/>
    <x v="1"/>
    <m/>
    <m/>
    <m/>
    <m/>
    <m/>
    <m/>
    <m/>
    <m/>
    <m/>
    <m/>
    <m/>
    <m/>
    <m/>
    <m/>
    <m/>
    <m/>
    <m/>
    <m/>
    <m/>
    <m/>
    <m/>
    <n v="800.73081417472122"/>
    <m/>
  </r>
  <r>
    <x v="5"/>
    <x v="2"/>
    <m/>
    <m/>
    <m/>
    <m/>
    <m/>
    <m/>
    <m/>
    <m/>
    <m/>
    <m/>
    <m/>
    <m/>
    <m/>
    <m/>
    <m/>
    <m/>
    <m/>
    <m/>
    <m/>
    <m/>
    <m/>
    <n v="1226.0967636518681"/>
    <m/>
  </r>
  <r>
    <x v="5"/>
    <x v="3"/>
    <m/>
    <m/>
    <m/>
    <m/>
    <m/>
    <m/>
    <m/>
    <m/>
    <m/>
    <m/>
    <m/>
    <m/>
    <m/>
    <m/>
    <m/>
    <m/>
    <m/>
    <m/>
    <m/>
    <m/>
    <m/>
    <n v="1549.8065625697723"/>
    <m/>
  </r>
  <r>
    <x v="5"/>
    <x v="4"/>
    <m/>
    <m/>
    <m/>
    <m/>
    <m/>
    <m/>
    <m/>
    <m/>
    <m/>
    <m/>
    <m/>
    <m/>
    <m/>
    <m/>
    <m/>
    <m/>
    <m/>
    <m/>
    <m/>
    <m/>
    <m/>
    <n v="1343.2895871360572"/>
    <m/>
  </r>
  <r>
    <x v="5"/>
    <x v="5"/>
    <m/>
    <m/>
    <m/>
    <m/>
    <m/>
    <m/>
    <m/>
    <m/>
    <m/>
    <m/>
    <m/>
    <m/>
    <m/>
    <m/>
    <m/>
    <m/>
    <m/>
    <m/>
    <m/>
    <m/>
    <m/>
    <n v="1462.0847341820331"/>
    <m/>
  </r>
  <r>
    <x v="5"/>
    <x v="6"/>
    <m/>
    <m/>
    <m/>
    <m/>
    <m/>
    <m/>
    <m/>
    <m/>
    <m/>
    <m/>
    <m/>
    <m/>
    <m/>
    <m/>
    <m/>
    <m/>
    <m/>
    <m/>
    <m/>
    <m/>
    <m/>
    <n v="1073.7921132916026"/>
    <m/>
  </r>
  <r>
    <x v="6"/>
    <x v="0"/>
    <m/>
    <m/>
    <m/>
    <m/>
    <m/>
    <m/>
    <m/>
    <m/>
    <m/>
    <m/>
    <m/>
    <m/>
    <m/>
    <m/>
    <m/>
    <m/>
    <m/>
    <m/>
    <m/>
    <m/>
    <m/>
    <n v="232.71234937199475"/>
    <m/>
  </r>
  <r>
    <x v="6"/>
    <x v="1"/>
    <m/>
    <m/>
    <m/>
    <m/>
    <m/>
    <m/>
    <m/>
    <m/>
    <m/>
    <m/>
    <m/>
    <m/>
    <m/>
    <m/>
    <m/>
    <m/>
    <m/>
    <m/>
    <m/>
    <m/>
    <m/>
    <n v="285.3790160386614"/>
    <m/>
  </r>
  <r>
    <x v="6"/>
    <x v="2"/>
    <m/>
    <m/>
    <m/>
    <m/>
    <m/>
    <m/>
    <m/>
    <m/>
    <m/>
    <m/>
    <m/>
    <m/>
    <m/>
    <m/>
    <m/>
    <m/>
    <m/>
    <m/>
    <m/>
    <m/>
    <m/>
    <n v="510.98259205432038"/>
    <m/>
  </r>
  <r>
    <x v="6"/>
    <x v="3"/>
    <m/>
    <m/>
    <m/>
    <m/>
    <m/>
    <m/>
    <m/>
    <m/>
    <m/>
    <m/>
    <m/>
    <m/>
    <m/>
    <m/>
    <m/>
    <m/>
    <m/>
    <m/>
    <m/>
    <m/>
    <m/>
    <n v="664.60380602742487"/>
    <m/>
  </r>
  <r>
    <x v="6"/>
    <x v="4"/>
    <m/>
    <m/>
    <m/>
    <m/>
    <m/>
    <m/>
    <m/>
    <m/>
    <m/>
    <m/>
    <m/>
    <m/>
    <m/>
    <m/>
    <m/>
    <m/>
    <m/>
    <m/>
    <m/>
    <m/>
    <m/>
    <n v="568.66075189850267"/>
    <m/>
  </r>
  <r>
    <x v="6"/>
    <x v="5"/>
    <m/>
    <m/>
    <m/>
    <m/>
    <m/>
    <m/>
    <m/>
    <m/>
    <m/>
    <m/>
    <m/>
    <m/>
    <m/>
    <m/>
    <m/>
    <m/>
    <m/>
    <m/>
    <m/>
    <m/>
    <m/>
    <n v="626.46346571446759"/>
    <m/>
  </r>
  <r>
    <x v="6"/>
    <x v="6"/>
    <m/>
    <m/>
    <m/>
    <m/>
    <m/>
    <m/>
    <m/>
    <m/>
    <m/>
    <m/>
    <m/>
    <m/>
    <m/>
    <m/>
    <m/>
    <m/>
    <m/>
    <m/>
    <m/>
    <m/>
    <m/>
    <n v="446.22247272853872"/>
    <m/>
  </r>
  <r>
    <x v="7"/>
    <x v="0"/>
    <m/>
    <m/>
    <m/>
    <m/>
    <m/>
    <m/>
    <m/>
    <m/>
    <m/>
    <m/>
    <m/>
    <m/>
    <m/>
    <m/>
    <m/>
    <m/>
    <m/>
    <m/>
    <m/>
    <m/>
    <m/>
    <n v="57.483746089222414"/>
    <m/>
  </r>
  <r>
    <x v="7"/>
    <x v="1"/>
    <m/>
    <m/>
    <m/>
    <m/>
    <m/>
    <m/>
    <m/>
    <m/>
    <m/>
    <m/>
    <m/>
    <m/>
    <m/>
    <m/>
    <m/>
    <m/>
    <m/>
    <m/>
    <m/>
    <m/>
    <m/>
    <n v="88.030412755889074"/>
    <m/>
  </r>
  <r>
    <x v="7"/>
    <x v="2"/>
    <m/>
    <m/>
    <m/>
    <m/>
    <m/>
    <m/>
    <m/>
    <m/>
    <m/>
    <m/>
    <m/>
    <m/>
    <m/>
    <m/>
    <m/>
    <m/>
    <m/>
    <m/>
    <m/>
    <m/>
    <m/>
    <n v="129.34834277256425"/>
    <m/>
  </r>
  <r>
    <x v="7"/>
    <x v="3"/>
    <m/>
    <m/>
    <m/>
    <m/>
    <m/>
    <m/>
    <m/>
    <m/>
    <m/>
    <m/>
    <m/>
    <m/>
    <m/>
    <m/>
    <m/>
    <m/>
    <m/>
    <m/>
    <m/>
    <m/>
    <m/>
    <n v="162.12136878584056"/>
    <m/>
  </r>
  <r>
    <x v="7"/>
    <x v="4"/>
    <m/>
    <m/>
    <m/>
    <m/>
    <m/>
    <m/>
    <m/>
    <m/>
    <m/>
    <m/>
    <m/>
    <m/>
    <m/>
    <m/>
    <m/>
    <m/>
    <m/>
    <m/>
    <m/>
    <m/>
    <m/>
    <n v="141.06139664765345"/>
    <m/>
  </r>
  <r>
    <x v="7"/>
    <x v="5"/>
    <m/>
    <m/>
    <m/>
    <m/>
    <m/>
    <m/>
    <m/>
    <m/>
    <m/>
    <m/>
    <m/>
    <m/>
    <m/>
    <m/>
    <m/>
    <m/>
    <m/>
    <m/>
    <m/>
    <m/>
    <m/>
    <n v="152.98346382742488"/>
    <m/>
  </r>
  <r>
    <x v="7"/>
    <x v="6"/>
    <m/>
    <m/>
    <m/>
    <m/>
    <m/>
    <m/>
    <m/>
    <m/>
    <m/>
    <m/>
    <m/>
    <m/>
    <m/>
    <m/>
    <m/>
    <m/>
    <m/>
    <m/>
    <m/>
    <m/>
    <m/>
    <n v="113.3754635632052"/>
    <m/>
  </r>
  <r>
    <x v="8"/>
    <x v="0"/>
    <m/>
    <m/>
    <m/>
    <m/>
    <m/>
    <m/>
    <m/>
    <m/>
    <m/>
    <m/>
    <m/>
    <m/>
    <m/>
    <m/>
    <m/>
    <m/>
    <m/>
    <m/>
    <m/>
    <m/>
    <m/>
    <n v="245.08159478569718"/>
    <m/>
  </r>
  <r>
    <x v="8"/>
    <x v="1"/>
    <m/>
    <m/>
    <m/>
    <m/>
    <m/>
    <m/>
    <m/>
    <m/>
    <m/>
    <m/>
    <m/>
    <m/>
    <m/>
    <m/>
    <m/>
    <m/>
    <m/>
    <m/>
    <m/>
    <m/>
    <m/>
    <n v="338.82826145236385"/>
    <m/>
  </r>
  <r>
    <x v="8"/>
    <x v="2"/>
    <m/>
    <m/>
    <m/>
    <m/>
    <m/>
    <m/>
    <m/>
    <m/>
    <m/>
    <m/>
    <m/>
    <m/>
    <m/>
    <m/>
    <m/>
    <m/>
    <m/>
    <m/>
    <m/>
    <m/>
    <m/>
    <n v="544.96898725473886"/>
    <m/>
  </r>
  <r>
    <x v="8"/>
    <x v="3"/>
    <m/>
    <m/>
    <m/>
    <m/>
    <m/>
    <m/>
    <m/>
    <m/>
    <m/>
    <m/>
    <m/>
    <m/>
    <m/>
    <m/>
    <m/>
    <m/>
    <m/>
    <m/>
    <m/>
    <m/>
    <m/>
    <n v="695.46175649646148"/>
    <m/>
  </r>
  <r>
    <x v="8"/>
    <x v="4"/>
    <m/>
    <m/>
    <m/>
    <m/>
    <m/>
    <m/>
    <m/>
    <m/>
    <m/>
    <m/>
    <m/>
    <m/>
    <m/>
    <m/>
    <m/>
    <m/>
    <m/>
    <m/>
    <m/>
    <m/>
    <m/>
    <n v="600.1807329241559"/>
    <m/>
  </r>
  <r>
    <x v="8"/>
    <x v="5"/>
    <m/>
    <m/>
    <m/>
    <m/>
    <m/>
    <m/>
    <m/>
    <m/>
    <m/>
    <m/>
    <m/>
    <m/>
    <m/>
    <m/>
    <m/>
    <m/>
    <m/>
    <m/>
    <m/>
    <m/>
    <m/>
    <n v="655.91273497981877"/>
    <m/>
  </r>
  <r>
    <x v="8"/>
    <x v="6"/>
    <m/>
    <m/>
    <m/>
    <m/>
    <m/>
    <m/>
    <m/>
    <m/>
    <m/>
    <m/>
    <m/>
    <m/>
    <m/>
    <m/>
    <m/>
    <m/>
    <m/>
    <m/>
    <m/>
    <m/>
    <m/>
    <n v="476.81893274823801"/>
    <m/>
  </r>
  <r>
    <x v="9"/>
    <x v="0"/>
    <m/>
    <m/>
    <m/>
    <m/>
    <m/>
    <m/>
    <m/>
    <m/>
    <m/>
    <m/>
    <m/>
    <m/>
    <m/>
    <m/>
    <m/>
    <m/>
    <m/>
    <m/>
    <m/>
    <m/>
    <m/>
    <n v="3231.2374439988944"/>
    <m/>
  </r>
  <r>
    <x v="9"/>
    <x v="1"/>
    <m/>
    <m/>
    <m/>
    <m/>
    <m/>
    <m/>
    <m/>
    <m/>
    <m/>
    <m/>
    <m/>
    <m/>
    <m/>
    <m/>
    <m/>
    <m/>
    <m/>
    <m/>
    <m/>
    <m/>
    <m/>
    <n v="4409.9174439988947"/>
    <m/>
  </r>
  <r>
    <x v="9"/>
    <x v="2"/>
    <m/>
    <m/>
    <m/>
    <m/>
    <m/>
    <m/>
    <m/>
    <m/>
    <m/>
    <m/>
    <m/>
    <m/>
    <m/>
    <m/>
    <m/>
    <m/>
    <m/>
    <m/>
    <m/>
    <m/>
    <m/>
    <n v="7174.8334784723811"/>
    <m/>
  </r>
  <r>
    <x v="9"/>
    <x v="3"/>
    <m/>
    <m/>
    <m/>
    <m/>
    <m/>
    <m/>
    <m/>
    <m/>
    <m/>
    <m/>
    <m/>
    <m/>
    <m/>
    <m/>
    <m/>
    <m/>
    <m/>
    <m/>
    <m/>
    <m/>
    <m/>
    <n v="9175.8874827642157"/>
    <m/>
  </r>
  <r>
    <x v="9"/>
    <x v="4"/>
    <m/>
    <m/>
    <m/>
    <m/>
    <m/>
    <m/>
    <m/>
    <m/>
    <m/>
    <m/>
    <m/>
    <m/>
    <m/>
    <m/>
    <m/>
    <m/>
    <m/>
    <m/>
    <m/>
    <m/>
    <m/>
    <n v="7911.0453441006421"/>
    <m/>
  </r>
  <r>
    <x v="9"/>
    <x v="5"/>
    <m/>
    <m/>
    <m/>
    <m/>
    <m/>
    <m/>
    <m/>
    <m/>
    <m/>
    <m/>
    <m/>
    <m/>
    <m/>
    <m/>
    <m/>
    <m/>
    <m/>
    <m/>
    <m/>
    <m/>
    <m/>
    <n v="8653.5339753754124"/>
    <m/>
  </r>
  <r>
    <x v="9"/>
    <x v="6"/>
    <m/>
    <m/>
    <m/>
    <m/>
    <m/>
    <m/>
    <m/>
    <m/>
    <m/>
    <m/>
    <m/>
    <m/>
    <m/>
    <m/>
    <m/>
    <m/>
    <m/>
    <m/>
    <m/>
    <m/>
    <m/>
    <n v="6276.2422554446293"/>
    <m/>
  </r>
  <r>
    <x v="10"/>
    <x v="0"/>
    <m/>
    <m/>
    <m/>
    <m/>
    <m/>
    <m/>
    <m/>
    <m/>
    <m/>
    <m/>
    <m/>
    <m/>
    <m/>
    <m/>
    <m/>
    <m/>
    <m/>
    <m/>
    <m/>
    <m/>
    <m/>
    <n v="4559.1306791947191"/>
    <m/>
  </r>
  <r>
    <x v="10"/>
    <x v="1"/>
    <m/>
    <m/>
    <m/>
    <m/>
    <m/>
    <m/>
    <m/>
    <m/>
    <m/>
    <m/>
    <m/>
    <m/>
    <m/>
    <m/>
    <m/>
    <m/>
    <m/>
    <m/>
    <m/>
    <m/>
    <m/>
    <n v="5420.7573458613861"/>
    <m/>
  </r>
  <r>
    <x v="10"/>
    <x v="2"/>
    <m/>
    <m/>
    <m/>
    <m/>
    <m/>
    <m/>
    <m/>
    <m/>
    <m/>
    <m/>
    <m/>
    <m/>
    <m/>
    <m/>
    <m/>
    <m/>
    <m/>
    <m/>
    <m/>
    <m/>
    <m/>
    <n v="9980.4510191099744"/>
    <m/>
  </r>
  <r>
    <x v="10"/>
    <x v="3"/>
    <m/>
    <m/>
    <m/>
    <m/>
    <m/>
    <m/>
    <m/>
    <m/>
    <m/>
    <m/>
    <m/>
    <m/>
    <m/>
    <m/>
    <m/>
    <m/>
    <m/>
    <m/>
    <m/>
    <m/>
    <m/>
    <n v="13040.293510403892"/>
    <m/>
  </r>
  <r>
    <x v="10"/>
    <x v="4"/>
    <m/>
    <m/>
    <m/>
    <m/>
    <m/>
    <m/>
    <m/>
    <m/>
    <m/>
    <m/>
    <m/>
    <m/>
    <m/>
    <m/>
    <m/>
    <m/>
    <m/>
    <m/>
    <m/>
    <m/>
    <m/>
    <n v="11135.033196290158"/>
    <m/>
  </r>
  <r>
    <x v="10"/>
    <x v="5"/>
    <m/>
    <m/>
    <m/>
    <m/>
    <m/>
    <m/>
    <m/>
    <m/>
    <m/>
    <m/>
    <m/>
    <m/>
    <m/>
    <m/>
    <m/>
    <m/>
    <m/>
    <m/>
    <m/>
    <m/>
    <m/>
    <n v="12290.325842106104"/>
    <m/>
  </r>
  <r>
    <x v="10"/>
    <x v="6"/>
    <m/>
    <m/>
    <m/>
    <m/>
    <m/>
    <m/>
    <m/>
    <m/>
    <m/>
    <m/>
    <m/>
    <m/>
    <m/>
    <m/>
    <m/>
    <m/>
    <m/>
    <m/>
    <m/>
    <m/>
    <m/>
    <n v="8711.4857943784336"/>
    <m/>
  </r>
  <r>
    <x v="11"/>
    <x v="0"/>
    <m/>
    <m/>
    <m/>
    <m/>
    <m/>
    <m/>
    <m/>
    <m/>
    <m/>
    <m/>
    <m/>
    <m/>
    <m/>
    <m/>
    <m/>
    <m/>
    <m/>
    <m/>
    <m/>
    <m/>
    <m/>
    <n v="509.61162674898094"/>
    <m/>
  </r>
  <r>
    <x v="11"/>
    <x v="1"/>
    <m/>
    <m/>
    <m/>
    <m/>
    <m/>
    <m/>
    <m/>
    <m/>
    <m/>
    <m/>
    <m/>
    <m/>
    <m/>
    <m/>
    <m/>
    <m/>
    <m/>
    <m/>
    <m/>
    <m/>
    <m/>
    <n v="1091.0516267489809"/>
    <m/>
  </r>
  <r>
    <x v="11"/>
    <x v="2"/>
    <m/>
    <m/>
    <m/>
    <m/>
    <m/>
    <m/>
    <m/>
    <m/>
    <m/>
    <m/>
    <m/>
    <m/>
    <m/>
    <m/>
    <m/>
    <m/>
    <m/>
    <m/>
    <m/>
    <m/>
    <m/>
    <n v="1202.1078310602834"/>
    <m/>
  </r>
  <r>
    <x v="11"/>
    <x v="3"/>
    <m/>
    <m/>
    <m/>
    <m/>
    <m/>
    <m/>
    <m/>
    <m/>
    <m/>
    <m/>
    <m/>
    <m/>
    <m/>
    <m/>
    <m/>
    <m/>
    <m/>
    <m/>
    <m/>
    <m/>
    <m/>
    <n v="1401.0058269938374"/>
    <m/>
  </r>
  <r>
    <x v="11"/>
    <x v="4"/>
    <m/>
    <m/>
    <m/>
    <m/>
    <m/>
    <m/>
    <m/>
    <m/>
    <m/>
    <m/>
    <m/>
    <m/>
    <m/>
    <m/>
    <m/>
    <m/>
    <m/>
    <m/>
    <m/>
    <m/>
    <m/>
    <n v="1261.0562550181319"/>
    <m/>
  </r>
  <r>
    <x v="11"/>
    <x v="5"/>
    <m/>
    <m/>
    <m/>
    <m/>
    <m/>
    <m/>
    <m/>
    <m/>
    <m/>
    <m/>
    <m/>
    <m/>
    <m/>
    <m/>
    <m/>
    <m/>
    <m/>
    <m/>
    <m/>
    <m/>
    <m/>
    <n v="1325.0149145994128"/>
    <m/>
  </r>
  <r>
    <x v="11"/>
    <x v="6"/>
    <m/>
    <m/>
    <m/>
    <m/>
    <m/>
    <m/>
    <m/>
    <m/>
    <m/>
    <m/>
    <m/>
    <m/>
    <m/>
    <m/>
    <m/>
    <m/>
    <m/>
    <m/>
    <m/>
    <m/>
    <m/>
    <n v="1060.9270044352775"/>
    <m/>
  </r>
  <r>
    <x v="12"/>
    <x v="0"/>
    <m/>
    <m/>
    <m/>
    <m/>
    <m/>
    <m/>
    <m/>
    <m/>
    <m/>
    <m/>
    <m/>
    <m/>
    <m/>
    <m/>
    <m/>
    <m/>
    <m/>
    <m/>
    <m/>
    <m/>
    <m/>
    <n v="501.68784576309463"/>
    <m/>
  </r>
  <r>
    <x v="12"/>
    <x v="1"/>
    <m/>
    <m/>
    <m/>
    <m/>
    <m/>
    <m/>
    <m/>
    <m/>
    <m/>
    <m/>
    <m/>
    <m/>
    <m/>
    <m/>
    <m/>
    <m/>
    <m/>
    <m/>
    <m/>
    <m/>
    <m/>
    <n v="957.78117909642799"/>
    <m/>
  </r>
  <r>
    <x v="12"/>
    <x v="2"/>
    <m/>
    <m/>
    <m/>
    <m/>
    <m/>
    <m/>
    <m/>
    <m/>
    <m/>
    <m/>
    <m/>
    <m/>
    <m/>
    <m/>
    <m/>
    <m/>
    <m/>
    <m/>
    <m/>
    <m/>
    <m/>
    <n v="1162.676400105343"/>
    <m/>
  </r>
  <r>
    <x v="12"/>
    <x v="3"/>
    <m/>
    <m/>
    <m/>
    <m/>
    <m/>
    <m/>
    <m/>
    <m/>
    <m/>
    <m/>
    <m/>
    <m/>
    <m/>
    <m/>
    <m/>
    <m/>
    <m/>
    <m/>
    <m/>
    <m/>
    <m/>
    <n v="1392.795152901097"/>
    <m/>
  </r>
  <r>
    <x v="12"/>
    <x v="4"/>
    <m/>
    <m/>
    <m/>
    <m/>
    <m/>
    <m/>
    <m/>
    <m/>
    <m/>
    <m/>
    <m/>
    <m/>
    <m/>
    <m/>
    <m/>
    <m/>
    <m/>
    <m/>
    <m/>
    <m/>
    <m/>
    <n v="1237.5163063082407"/>
    <m/>
  </r>
  <r>
    <x v="12"/>
    <x v="5"/>
    <m/>
    <m/>
    <m/>
    <m/>
    <m/>
    <m/>
    <m/>
    <m/>
    <m/>
    <m/>
    <m/>
    <m/>
    <m/>
    <m/>
    <m/>
    <m/>
    <m/>
    <m/>
    <m/>
    <m/>
    <m/>
    <n v="1316.1064179793516"/>
    <m/>
  </r>
  <r>
    <x v="12"/>
    <x v="6"/>
    <m/>
    <m/>
    <m/>
    <m/>
    <m/>
    <m/>
    <m/>
    <m/>
    <m/>
    <m/>
    <m/>
    <m/>
    <m/>
    <m/>
    <m/>
    <m/>
    <m/>
    <m/>
    <m/>
    <m/>
    <m/>
    <n v="1023.5320663374099"/>
    <m/>
  </r>
  <r>
    <x v="13"/>
    <x v="0"/>
    <m/>
    <m/>
    <m/>
    <m/>
    <m/>
    <m/>
    <m/>
    <m/>
    <m/>
    <m/>
    <m/>
    <m/>
    <m/>
    <m/>
    <m/>
    <m/>
    <m/>
    <m/>
    <m/>
    <m/>
    <m/>
    <n v="314.77088220924941"/>
    <m/>
  </r>
  <r>
    <x v="13"/>
    <x v="1"/>
    <m/>
    <m/>
    <m/>
    <m/>
    <m/>
    <m/>
    <m/>
    <m/>
    <m/>
    <m/>
    <m/>
    <m/>
    <m/>
    <m/>
    <m/>
    <m/>
    <m/>
    <m/>
    <m/>
    <m/>
    <m/>
    <n v="422.21088220924941"/>
    <m/>
  </r>
  <r>
    <x v="13"/>
    <x v="2"/>
    <m/>
    <m/>
    <m/>
    <m/>
    <m/>
    <m/>
    <m/>
    <m/>
    <m/>
    <m/>
    <m/>
    <m/>
    <m/>
    <m/>
    <m/>
    <m/>
    <m/>
    <m/>
    <m/>
    <m/>
    <m/>
    <n v="697.61992323696836"/>
    <m/>
  </r>
  <r>
    <x v="13"/>
    <x v="3"/>
    <m/>
    <m/>
    <m/>
    <m/>
    <m/>
    <m/>
    <m/>
    <m/>
    <m/>
    <m/>
    <m/>
    <m/>
    <m/>
    <m/>
    <m/>
    <m/>
    <m/>
    <m/>
    <m/>
    <m/>
    <m/>
    <n v="894.7301395997888"/>
    <m/>
  </r>
  <r>
    <x v="13"/>
    <x v="4"/>
    <m/>
    <m/>
    <m/>
    <m/>
    <m/>
    <m/>
    <m/>
    <m/>
    <m/>
    <m/>
    <m/>
    <m/>
    <m/>
    <m/>
    <m/>
    <m/>
    <m/>
    <m/>
    <m/>
    <m/>
    <m/>
    <n v="770.40465699317338"/>
    <m/>
  </r>
  <r>
    <x v="13"/>
    <x v="5"/>
    <m/>
    <m/>
    <m/>
    <m/>
    <m/>
    <m/>
    <m/>
    <m/>
    <m/>
    <m/>
    <m/>
    <m/>
    <m/>
    <m/>
    <m/>
    <m/>
    <m/>
    <m/>
    <m/>
    <m/>
    <m/>
    <n v="843.72582089611694"/>
    <m/>
  </r>
  <r>
    <x v="13"/>
    <x v="6"/>
    <m/>
    <m/>
    <m/>
    <m/>
    <m/>
    <m/>
    <m/>
    <m/>
    <m/>
    <m/>
    <m/>
    <m/>
    <m/>
    <m/>
    <m/>
    <m/>
    <m/>
    <m/>
    <m/>
    <m/>
    <m/>
    <n v="610.07362051198265"/>
    <m/>
  </r>
  <r>
    <x v="14"/>
    <x v="0"/>
    <m/>
    <m/>
    <m/>
    <m/>
    <m/>
    <m/>
    <m/>
    <m/>
    <m/>
    <m/>
    <m/>
    <m/>
    <m/>
    <m/>
    <m/>
    <m/>
    <m/>
    <m/>
    <m/>
    <m/>
    <m/>
    <n v="2783.544592229493"/>
    <m/>
  </r>
  <r>
    <x v="14"/>
    <x v="1"/>
    <m/>
    <m/>
    <m/>
    <m/>
    <m/>
    <m/>
    <m/>
    <m/>
    <m/>
    <m/>
    <m/>
    <m/>
    <m/>
    <m/>
    <m/>
    <m/>
    <m/>
    <m/>
    <m/>
    <m/>
    <m/>
    <n v="3922.1979255628266"/>
    <m/>
  </r>
  <r>
    <x v="14"/>
    <x v="2"/>
    <m/>
    <m/>
    <m/>
    <m/>
    <m/>
    <m/>
    <m/>
    <m/>
    <m/>
    <m/>
    <m/>
    <m/>
    <m/>
    <m/>
    <m/>
    <m/>
    <m/>
    <m/>
    <m/>
    <m/>
    <m/>
    <n v="6202.7335177760378"/>
    <m/>
  </r>
  <r>
    <x v="14"/>
    <x v="3"/>
    <m/>
    <m/>
    <m/>
    <m/>
    <m/>
    <m/>
    <m/>
    <m/>
    <m/>
    <m/>
    <m/>
    <m/>
    <m/>
    <m/>
    <m/>
    <m/>
    <m/>
    <m/>
    <m/>
    <m/>
    <m/>
    <n v="7890.1672335105441"/>
    <m/>
  </r>
  <r>
    <x v="14"/>
    <x v="4"/>
    <m/>
    <m/>
    <m/>
    <m/>
    <m/>
    <m/>
    <m/>
    <m/>
    <m/>
    <m/>
    <m/>
    <m/>
    <m/>
    <m/>
    <m/>
    <m/>
    <m/>
    <m/>
    <m/>
    <m/>
    <m/>
    <n v="6819.1260365560202"/>
    <m/>
  </r>
  <r>
    <x v="14"/>
    <x v="5"/>
    <m/>
    <m/>
    <m/>
    <m/>
    <m/>
    <m/>
    <m/>
    <m/>
    <m/>
    <m/>
    <m/>
    <m/>
    <m/>
    <m/>
    <m/>
    <m/>
    <m/>
    <m/>
    <m/>
    <m/>
    <m/>
    <n v="7442.1786886191721"/>
    <m/>
  </r>
  <r>
    <x v="14"/>
    <x v="6"/>
    <m/>
    <m/>
    <m/>
    <m/>
    <m/>
    <m/>
    <m/>
    <m/>
    <m/>
    <m/>
    <m/>
    <m/>
    <m/>
    <m/>
    <m/>
    <m/>
    <m/>
    <m/>
    <m/>
    <m/>
    <m/>
    <n v="5428.8116696203624"/>
    <m/>
  </r>
  <r>
    <x v="15"/>
    <x v="0"/>
    <m/>
    <m/>
    <m/>
    <m/>
    <m/>
    <m/>
    <m/>
    <m/>
    <m/>
    <m/>
    <m/>
    <m/>
    <m/>
    <m/>
    <m/>
    <m/>
    <m/>
    <m/>
    <m/>
    <m/>
    <m/>
    <n v="86.041190728593421"/>
    <m/>
  </r>
  <r>
    <x v="15"/>
    <x v="1"/>
    <m/>
    <m/>
    <m/>
    <m/>
    <m/>
    <m/>
    <m/>
    <m/>
    <m/>
    <m/>
    <m/>
    <m/>
    <m/>
    <m/>
    <m/>
    <m/>
    <m/>
    <m/>
    <m/>
    <m/>
    <m/>
    <n v="160.82785739526008"/>
    <m/>
  </r>
  <r>
    <x v="15"/>
    <x v="2"/>
    <m/>
    <m/>
    <m/>
    <m/>
    <m/>
    <m/>
    <m/>
    <m/>
    <m/>
    <m/>
    <m/>
    <m/>
    <m/>
    <m/>
    <m/>
    <m/>
    <m/>
    <m/>
    <m/>
    <m/>
    <m/>
    <n v="198.79047128606609"/>
    <m/>
  </r>
  <r>
    <x v="15"/>
    <x v="3"/>
    <m/>
    <m/>
    <m/>
    <m/>
    <m/>
    <m/>
    <m/>
    <m/>
    <m/>
    <m/>
    <m/>
    <m/>
    <m/>
    <m/>
    <m/>
    <m/>
    <m/>
    <m/>
    <m/>
    <m/>
    <m/>
    <n v="239.27001737083037"/>
    <m/>
  </r>
  <r>
    <x v="15"/>
    <x v="4"/>
    <m/>
    <m/>
    <m/>
    <m/>
    <m/>
    <m/>
    <m/>
    <m/>
    <m/>
    <m/>
    <m/>
    <m/>
    <m/>
    <m/>
    <m/>
    <m/>
    <m/>
    <m/>
    <m/>
    <m/>
    <m/>
    <n v="212.12217078572331"/>
    <m/>
  </r>
  <r>
    <x v="15"/>
    <x v="5"/>
    <m/>
    <m/>
    <m/>
    <m/>
    <m/>
    <m/>
    <m/>
    <m/>
    <m/>
    <m/>
    <m/>
    <m/>
    <m/>
    <m/>
    <m/>
    <m/>
    <m/>
    <m/>
    <m/>
    <m/>
    <m/>
    <n v="226.06213121764577"/>
    <m/>
  </r>
  <r>
    <x v="15"/>
    <x v="6"/>
    <m/>
    <m/>
    <m/>
    <m/>
    <m/>
    <m/>
    <m/>
    <m/>
    <m/>
    <m/>
    <m/>
    <m/>
    <m/>
    <m/>
    <m/>
    <m/>
    <m/>
    <m/>
    <m/>
    <m/>
    <m/>
    <n v="174.92205318885004"/>
    <m/>
  </r>
  <r>
    <x v="16"/>
    <x v="0"/>
    <m/>
    <m/>
    <m/>
    <m/>
    <m/>
    <m/>
    <m/>
    <m/>
    <m/>
    <m/>
    <m/>
    <m/>
    <m/>
    <m/>
    <m/>
    <m/>
    <m/>
    <m/>
    <m/>
    <m/>
    <m/>
    <n v="137.28775151908243"/>
    <m/>
  </r>
  <r>
    <x v="16"/>
    <x v="1"/>
    <m/>
    <m/>
    <m/>
    <m/>
    <m/>
    <m/>
    <m/>
    <m/>
    <m/>
    <m/>
    <m/>
    <m/>
    <m/>
    <m/>
    <m/>
    <m/>
    <m/>
    <m/>
    <m/>
    <m/>
    <m/>
    <n v="244.72775151908246"/>
    <m/>
  </r>
  <r>
    <x v="16"/>
    <x v="2"/>
    <m/>
    <m/>
    <m/>
    <m/>
    <m/>
    <m/>
    <m/>
    <m/>
    <m/>
    <m/>
    <m/>
    <m/>
    <m/>
    <m/>
    <m/>
    <m/>
    <m/>
    <m/>
    <m/>
    <m/>
    <m/>
    <n v="315.07078565757394"/>
    <m/>
  </r>
  <r>
    <x v="16"/>
    <x v="3"/>
    <m/>
    <m/>
    <m/>
    <m/>
    <m/>
    <m/>
    <m/>
    <m/>
    <m/>
    <m/>
    <m/>
    <m/>
    <m/>
    <m/>
    <m/>
    <m/>
    <m/>
    <m/>
    <m/>
    <m/>
    <m/>
    <n v="383.16800767341988"/>
    <m/>
  </r>
  <r>
    <x v="16"/>
    <x v="4"/>
    <m/>
    <m/>
    <m/>
    <m/>
    <m/>
    <m/>
    <m/>
    <m/>
    <m/>
    <m/>
    <m/>
    <m/>
    <m/>
    <m/>
    <m/>
    <m/>
    <m/>
    <m/>
    <m/>
    <m/>
    <m/>
    <n v="338.0612001171101"/>
    <m/>
  </r>
  <r>
    <x v="16"/>
    <x v="5"/>
    <m/>
    <m/>
    <m/>
    <m/>
    <m/>
    <m/>
    <m/>
    <m/>
    <m/>
    <m/>
    <m/>
    <m/>
    <m/>
    <m/>
    <m/>
    <m/>
    <m/>
    <m/>
    <m/>
    <m/>
    <m/>
    <n v="361.90130973451352"/>
    <m/>
  </r>
  <r>
    <x v="16"/>
    <x v="6"/>
    <m/>
    <m/>
    <m/>
    <m/>
    <m/>
    <m/>
    <m/>
    <m/>
    <m/>
    <m/>
    <m/>
    <m/>
    <m/>
    <m/>
    <m/>
    <m/>
    <m/>
    <m/>
    <m/>
    <m/>
    <m/>
    <n v="276.96999718723612"/>
    <m/>
  </r>
  <r>
    <x v="17"/>
    <x v="0"/>
    <m/>
    <m/>
    <m/>
    <m/>
    <m/>
    <m/>
    <m/>
    <m/>
    <m/>
    <m/>
    <m/>
    <m/>
    <m/>
    <m/>
    <m/>
    <m/>
    <m/>
    <m/>
    <m/>
    <m/>
    <m/>
    <n v="103.45790708504438"/>
    <m/>
  </r>
  <r>
    <x v="17"/>
    <x v="1"/>
    <m/>
    <m/>
    <m/>
    <m/>
    <m/>
    <m/>
    <m/>
    <m/>
    <m/>
    <m/>
    <m/>
    <m/>
    <m/>
    <m/>
    <m/>
    <m/>
    <m/>
    <m/>
    <m/>
    <m/>
    <m/>
    <n v="113.99124041837771"/>
    <m/>
  </r>
  <r>
    <x v="17"/>
    <x v="2"/>
    <m/>
    <m/>
    <m/>
    <m/>
    <m/>
    <m/>
    <m/>
    <m/>
    <m/>
    <m/>
    <m/>
    <m/>
    <m/>
    <m/>
    <m/>
    <m/>
    <m/>
    <m/>
    <m/>
    <m/>
    <m/>
    <n v="224.87269239551009"/>
    <m/>
  </r>
  <r>
    <x v="17"/>
    <x v="3"/>
    <m/>
    <m/>
    <m/>
    <m/>
    <m/>
    <m/>
    <m/>
    <m/>
    <m/>
    <m/>
    <m/>
    <m/>
    <m/>
    <m/>
    <m/>
    <m/>
    <m/>
    <m/>
    <m/>
    <m/>
    <m/>
    <n v="296.96892897094267"/>
    <m/>
  </r>
  <r>
    <x v="17"/>
    <x v="4"/>
    <m/>
    <m/>
    <m/>
    <m/>
    <m/>
    <m/>
    <m/>
    <m/>
    <m/>
    <m/>
    <m/>
    <m/>
    <m/>
    <m/>
    <m/>
    <m/>
    <m/>
    <m/>
    <m/>
    <m/>
    <m/>
    <n v="252.37640787941493"/>
    <m/>
  </r>
  <r>
    <x v="17"/>
    <x v="5"/>
    <m/>
    <m/>
    <m/>
    <m/>
    <m/>
    <m/>
    <m/>
    <m/>
    <m/>
    <m/>
    <m/>
    <m/>
    <m/>
    <m/>
    <m/>
    <m/>
    <m/>
    <m/>
    <m/>
    <m/>
    <m/>
    <n v="279.80457607469202"/>
    <m/>
  </r>
  <r>
    <x v="17"/>
    <x v="6"/>
    <m/>
    <m/>
    <m/>
    <m/>
    <m/>
    <m/>
    <m/>
    <m/>
    <m/>
    <m/>
    <m/>
    <m/>
    <m/>
    <m/>
    <m/>
    <m/>
    <m/>
    <m/>
    <m/>
    <m/>
    <m/>
    <n v="196.06444010478432"/>
    <m/>
  </r>
  <r>
    <x v="18"/>
    <x v="0"/>
    <m/>
    <m/>
    <m/>
    <m/>
    <m/>
    <m/>
    <m/>
    <m/>
    <m/>
    <m/>
    <m/>
    <m/>
    <m/>
    <m/>
    <m/>
    <m/>
    <m/>
    <m/>
    <m/>
    <m/>
    <m/>
    <n v="12.555247753785933"/>
    <m/>
  </r>
  <r>
    <x v="18"/>
    <x v="1"/>
    <m/>
    <m/>
    <m/>
    <m/>
    <m/>
    <m/>
    <m/>
    <m/>
    <m/>
    <m/>
    <m/>
    <m/>
    <m/>
    <m/>
    <m/>
    <m/>
    <m/>
    <m/>
    <m/>
    <m/>
    <m/>
    <n v="19.928581087119269"/>
    <m/>
  </r>
  <r>
    <x v="18"/>
    <x v="2"/>
    <m/>
    <m/>
    <m/>
    <m/>
    <m/>
    <m/>
    <m/>
    <m/>
    <m/>
    <m/>
    <m/>
    <m/>
    <m/>
    <m/>
    <m/>
    <m/>
    <m/>
    <m/>
    <m/>
    <m/>
    <m/>
    <n v="28.376570810263992"/>
    <m/>
  </r>
  <r>
    <x v="18"/>
    <x v="3"/>
    <m/>
    <m/>
    <m/>
    <m/>
    <m/>
    <m/>
    <m/>
    <m/>
    <m/>
    <m/>
    <m/>
    <m/>
    <m/>
    <m/>
    <m/>
    <m/>
    <m/>
    <m/>
    <m/>
    <m/>
    <m/>
    <n v="35.327688250093139"/>
    <m/>
  </r>
  <r>
    <x v="18"/>
    <x v="4"/>
    <m/>
    <m/>
    <m/>
    <m/>
    <m/>
    <m/>
    <m/>
    <m/>
    <m/>
    <m/>
    <m/>
    <m/>
    <m/>
    <m/>
    <m/>
    <m/>
    <m/>
    <m/>
    <m/>
    <m/>
    <m/>
    <n v="30.833484000724415"/>
    <m/>
  </r>
  <r>
    <x v="18"/>
    <x v="5"/>
    <m/>
    <m/>
    <m/>
    <m/>
    <m/>
    <m/>
    <m/>
    <m/>
    <m/>
    <m/>
    <m/>
    <m/>
    <m/>
    <m/>
    <m/>
    <m/>
    <m/>
    <m/>
    <m/>
    <m/>
    <m/>
    <n v="33.343178778458686"/>
    <m/>
  </r>
  <r>
    <x v="18"/>
    <x v="6"/>
    <m/>
    <m/>
    <m/>
    <m/>
    <m/>
    <m/>
    <m/>
    <m/>
    <m/>
    <m/>
    <m/>
    <m/>
    <m/>
    <m/>
    <m/>
    <m/>
    <m/>
    <m/>
    <m/>
    <m/>
    <m/>
    <n v="24.888829467795286"/>
    <m/>
  </r>
  <r>
    <x v="19"/>
    <x v="0"/>
    <m/>
    <m/>
    <m/>
    <m/>
    <m/>
    <m/>
    <m/>
    <m/>
    <m/>
    <m/>
    <m/>
    <m/>
    <m/>
    <m/>
    <m/>
    <m/>
    <m/>
    <m/>
    <m/>
    <m/>
    <m/>
    <n v="788.94658710421743"/>
    <m/>
  </r>
  <r>
    <x v="19"/>
    <x v="1"/>
    <m/>
    <m/>
    <m/>
    <m/>
    <m/>
    <m/>
    <m/>
    <m/>
    <m/>
    <m/>
    <m/>
    <m/>
    <m/>
    <m/>
    <m/>
    <m/>
    <m/>
    <m/>
    <m/>
    <m/>
    <m/>
    <n v="905.86658710421739"/>
    <m/>
  </r>
  <r>
    <x v="19"/>
    <x v="2"/>
    <m/>
    <m/>
    <m/>
    <m/>
    <m/>
    <m/>
    <m/>
    <m/>
    <m/>
    <m/>
    <m/>
    <m/>
    <m/>
    <m/>
    <m/>
    <m/>
    <m/>
    <m/>
    <m/>
    <m/>
    <m/>
    <n v="1721.3540942078107"/>
    <m/>
  </r>
  <r>
    <x v="19"/>
    <x v="3"/>
    <m/>
    <m/>
    <m/>
    <m/>
    <m/>
    <m/>
    <m/>
    <m/>
    <m/>
    <m/>
    <m/>
    <m/>
    <m/>
    <m/>
    <m/>
    <m/>
    <m/>
    <m/>
    <m/>
    <m/>
    <m/>
    <n v="2260.3471337773067"/>
    <m/>
  </r>
  <r>
    <x v="19"/>
    <x v="4"/>
    <m/>
    <m/>
    <m/>
    <m/>
    <m/>
    <m/>
    <m/>
    <m/>
    <m/>
    <m/>
    <m/>
    <m/>
    <m/>
    <m/>
    <m/>
    <m/>
    <m/>
    <m/>
    <m/>
    <m/>
    <m/>
    <n v="1925.8026254464951"/>
    <m/>
  </r>
  <r>
    <x v="19"/>
    <x v="5"/>
    <m/>
    <m/>
    <m/>
    <m/>
    <m/>
    <m/>
    <m/>
    <m/>
    <m/>
    <m/>
    <m/>
    <m/>
    <m/>
    <m/>
    <m/>
    <m/>
    <m/>
    <m/>
    <m/>
    <m/>
    <m/>
    <n v="2130.0470013962349"/>
    <m/>
  </r>
  <r>
    <x v="19"/>
    <x v="6"/>
    <m/>
    <m/>
    <m/>
    <m/>
    <m/>
    <m/>
    <m/>
    <m/>
    <m/>
    <m/>
    <m/>
    <m/>
    <m/>
    <m/>
    <m/>
    <m/>
    <m/>
    <m/>
    <m/>
    <m/>
    <m/>
    <n v="1501.7188096596235"/>
    <m/>
  </r>
  <r>
    <x v="20"/>
    <x v="0"/>
    <m/>
    <m/>
    <m/>
    <m/>
    <m/>
    <m/>
    <m/>
    <m/>
    <m/>
    <m/>
    <m/>
    <m/>
    <m/>
    <m/>
    <m/>
    <m/>
    <m/>
    <m/>
    <m/>
    <m/>
    <m/>
    <n v="2150.494885644946"/>
    <m/>
  </r>
  <r>
    <x v="20"/>
    <x v="1"/>
    <m/>
    <m/>
    <m/>
    <m/>
    <m/>
    <m/>
    <m/>
    <m/>
    <m/>
    <m/>
    <m/>
    <m/>
    <m/>
    <m/>
    <m/>
    <m/>
    <m/>
    <m/>
    <m/>
    <m/>
    <m/>
    <n v="4004.3615523116123"/>
    <m/>
  </r>
  <r>
    <x v="20"/>
    <x v="2"/>
    <m/>
    <m/>
    <m/>
    <m/>
    <m/>
    <m/>
    <m/>
    <m/>
    <m/>
    <m/>
    <m/>
    <m/>
    <m/>
    <m/>
    <m/>
    <m/>
    <m/>
    <m/>
    <m/>
    <m/>
    <m/>
    <n v="4965.7913577740173"/>
    <m/>
  </r>
  <r>
    <x v="20"/>
    <x v="3"/>
    <m/>
    <m/>
    <m/>
    <m/>
    <m/>
    <m/>
    <m/>
    <m/>
    <m/>
    <m/>
    <m/>
    <m/>
    <m/>
    <m/>
    <m/>
    <m/>
    <m/>
    <m/>
    <m/>
    <m/>
    <m/>
    <n v="5982.052619353949"/>
    <m/>
  </r>
  <r>
    <x v="20"/>
    <x v="4"/>
    <m/>
    <m/>
    <m/>
    <m/>
    <m/>
    <m/>
    <m/>
    <m/>
    <m/>
    <m/>
    <m/>
    <m/>
    <m/>
    <m/>
    <m/>
    <m/>
    <m/>
    <m/>
    <m/>
    <m/>
    <m/>
    <n v="5301.2171279005379"/>
    <m/>
  </r>
  <r>
    <x v="20"/>
    <x v="5"/>
    <m/>
    <m/>
    <m/>
    <m/>
    <m/>
    <m/>
    <m/>
    <m/>
    <m/>
    <m/>
    <m/>
    <m/>
    <m/>
    <m/>
    <m/>
    <m/>
    <m/>
    <m/>
    <m/>
    <m/>
    <m/>
    <n v="5651.6897751770903"/>
    <m/>
  </r>
  <r>
    <x v="20"/>
    <x v="6"/>
    <m/>
    <m/>
    <m/>
    <m/>
    <m/>
    <m/>
    <m/>
    <m/>
    <m/>
    <m/>
    <m/>
    <m/>
    <m/>
    <m/>
    <m/>
    <m/>
    <m/>
    <m/>
    <m/>
    <m/>
    <m/>
    <n v="4369.2083632251451"/>
    <m/>
  </r>
  <r>
    <x v="21"/>
    <x v="0"/>
    <m/>
    <m/>
    <m/>
    <m/>
    <m/>
    <m/>
    <m/>
    <m/>
    <m/>
    <m/>
    <m/>
    <m/>
    <m/>
    <m/>
    <m/>
    <m/>
    <m/>
    <m/>
    <m/>
    <m/>
    <m/>
    <n v="357.10713302746962"/>
    <m/>
  </r>
  <r>
    <x v="21"/>
    <x v="1"/>
    <m/>
    <m/>
    <m/>
    <m/>
    <m/>
    <m/>
    <m/>
    <m/>
    <m/>
    <m/>
    <m/>
    <m/>
    <m/>
    <m/>
    <m/>
    <m/>
    <m/>
    <m/>
    <m/>
    <m/>
    <m/>
    <n v="555.13379969413631"/>
    <m/>
  </r>
  <r>
    <x v="21"/>
    <x v="2"/>
    <m/>
    <m/>
    <m/>
    <m/>
    <m/>
    <m/>
    <m/>
    <m/>
    <m/>
    <m/>
    <m/>
    <m/>
    <m/>
    <m/>
    <m/>
    <m/>
    <m/>
    <m/>
    <m/>
    <m/>
    <m/>
    <n v="805.02580757830265"/>
    <m/>
  </r>
  <r>
    <x v="21"/>
    <x v="3"/>
    <m/>
    <m/>
    <m/>
    <m/>
    <m/>
    <m/>
    <m/>
    <m/>
    <m/>
    <m/>
    <m/>
    <m/>
    <m/>
    <m/>
    <m/>
    <m/>
    <m/>
    <m/>
    <m/>
    <m/>
    <m/>
    <n v="1006.1849073159301"/>
    <m/>
  </r>
  <r>
    <x v="21"/>
    <x v="4"/>
    <m/>
    <m/>
    <m/>
    <m/>
    <m/>
    <m/>
    <m/>
    <m/>
    <m/>
    <m/>
    <m/>
    <m/>
    <m/>
    <m/>
    <m/>
    <m/>
    <m/>
    <m/>
    <m/>
    <m/>
    <m/>
    <n v="876.5971203097838"/>
    <m/>
  </r>
  <r>
    <x v="21"/>
    <x v="5"/>
    <m/>
    <m/>
    <m/>
    <m/>
    <m/>
    <m/>
    <m/>
    <m/>
    <m/>
    <m/>
    <m/>
    <m/>
    <m/>
    <m/>
    <m/>
    <m/>
    <m/>
    <m/>
    <m/>
    <m/>
    <m/>
    <n v="949.5508553795363"/>
    <m/>
  </r>
  <r>
    <x v="21"/>
    <x v="6"/>
    <m/>
    <m/>
    <m/>
    <m/>
    <m/>
    <m/>
    <m/>
    <m/>
    <m/>
    <m/>
    <m/>
    <m/>
    <m/>
    <m/>
    <m/>
    <m/>
    <m/>
    <m/>
    <m/>
    <m/>
    <m/>
    <n v="705.80852287753817"/>
    <m/>
  </r>
  <r>
    <x v="22"/>
    <x v="0"/>
    <m/>
    <m/>
    <m/>
    <m/>
    <m/>
    <m/>
    <m/>
    <m/>
    <m/>
    <m/>
    <m/>
    <m/>
    <m/>
    <m/>
    <m/>
    <m/>
    <m/>
    <m/>
    <m/>
    <m/>
    <m/>
    <n v="815.64042218600025"/>
    <m/>
  </r>
  <r>
    <x v="22"/>
    <x v="1"/>
    <m/>
    <m/>
    <m/>
    <m/>
    <m/>
    <m/>
    <m/>
    <m/>
    <m/>
    <m/>
    <m/>
    <m/>
    <m/>
    <m/>
    <m/>
    <m/>
    <m/>
    <m/>
    <m/>
    <m/>
    <m/>
    <n v="1789.9737555193335"/>
    <m/>
  </r>
  <r>
    <x v="22"/>
    <x v="2"/>
    <m/>
    <m/>
    <m/>
    <m/>
    <m/>
    <m/>
    <m/>
    <m/>
    <m/>
    <m/>
    <m/>
    <m/>
    <m/>
    <m/>
    <m/>
    <m/>
    <m/>
    <m/>
    <m/>
    <m/>
    <m/>
    <n v="1931.7883819568642"/>
    <m/>
  </r>
  <r>
    <x v="22"/>
    <x v="3"/>
    <m/>
    <m/>
    <m/>
    <m/>
    <m/>
    <m/>
    <m/>
    <m/>
    <m/>
    <m/>
    <m/>
    <m/>
    <m/>
    <m/>
    <m/>
    <m/>
    <m/>
    <m/>
    <m/>
    <m/>
    <m/>
    <n v="2237.2256769814385"/>
    <m/>
  </r>
  <r>
    <x v="22"/>
    <x v="4"/>
    <m/>
    <m/>
    <m/>
    <m/>
    <m/>
    <m/>
    <m/>
    <m/>
    <m/>
    <m/>
    <m/>
    <m/>
    <m/>
    <m/>
    <m/>
    <m/>
    <m/>
    <m/>
    <m/>
    <m/>
    <m/>
    <n v="2019.816385393257"/>
    <m/>
  </r>
  <r>
    <x v="22"/>
    <x v="5"/>
    <m/>
    <m/>
    <m/>
    <m/>
    <m/>
    <m/>
    <m/>
    <m/>
    <m/>
    <m/>
    <m/>
    <m/>
    <m/>
    <m/>
    <m/>
    <m/>
    <m/>
    <m/>
    <m/>
    <m/>
    <m/>
    <n v="2116.3078151915101"/>
    <m/>
  </r>
  <r>
    <x v="22"/>
    <x v="6"/>
    <m/>
    <m/>
    <m/>
    <m/>
    <m/>
    <m/>
    <m/>
    <m/>
    <m/>
    <m/>
    <m/>
    <m/>
    <m/>
    <m/>
    <m/>
    <m/>
    <m/>
    <m/>
    <m/>
    <m/>
    <m/>
    <n v="1705.886189227564"/>
    <m/>
  </r>
  <r>
    <x v="23"/>
    <x v="0"/>
    <m/>
    <m/>
    <m/>
    <m/>
    <m/>
    <m/>
    <m/>
    <m/>
    <m/>
    <m/>
    <m/>
    <m/>
    <m/>
    <m/>
    <m/>
    <m/>
    <m/>
    <m/>
    <m/>
    <m/>
    <m/>
    <n v="271.51905414113389"/>
    <m/>
  </r>
  <r>
    <x v="23"/>
    <x v="1"/>
    <m/>
    <m/>
    <m/>
    <m/>
    <m/>
    <m/>
    <m/>
    <m/>
    <m/>
    <m/>
    <m/>
    <m/>
    <m/>
    <m/>
    <m/>
    <m/>
    <m/>
    <m/>
    <m/>
    <m/>
    <m/>
    <n v="519.0523874744672"/>
    <m/>
  </r>
  <r>
    <x v="23"/>
    <x v="2"/>
    <m/>
    <m/>
    <m/>
    <m/>
    <m/>
    <m/>
    <m/>
    <m/>
    <m/>
    <m/>
    <m/>
    <m/>
    <m/>
    <m/>
    <m/>
    <m/>
    <m/>
    <m/>
    <m/>
    <m/>
    <m/>
    <n v="629.37656738995065"/>
    <m/>
  </r>
  <r>
    <x v="23"/>
    <x v="3"/>
    <m/>
    <m/>
    <m/>
    <m/>
    <m/>
    <m/>
    <m/>
    <m/>
    <m/>
    <m/>
    <m/>
    <m/>
    <m/>
    <m/>
    <m/>
    <m/>
    <m/>
    <m/>
    <m/>
    <m/>
    <m/>
    <n v="753.715674595981"/>
    <m/>
  </r>
  <r>
    <x v="23"/>
    <x v="4"/>
    <m/>
    <m/>
    <m/>
    <m/>
    <m/>
    <m/>
    <m/>
    <m/>
    <m/>
    <m/>
    <m/>
    <m/>
    <m/>
    <m/>
    <m/>
    <m/>
    <m/>
    <m/>
    <m/>
    <m/>
    <m/>
    <n v="669.78096529961635"/>
    <m/>
  </r>
  <r>
    <x v="23"/>
    <x v="5"/>
    <m/>
    <m/>
    <m/>
    <m/>
    <m/>
    <m/>
    <m/>
    <m/>
    <m/>
    <m/>
    <m/>
    <m/>
    <m/>
    <m/>
    <m/>
    <m/>
    <m/>
    <m/>
    <m/>
    <m/>
    <m/>
    <n v="712.22203479178779"/>
    <m/>
  </r>
  <r>
    <x v="23"/>
    <x v="6"/>
    <m/>
    <m/>
    <m/>
    <m/>
    <m/>
    <m/>
    <m/>
    <m/>
    <m/>
    <m/>
    <m/>
    <m/>
    <m/>
    <m/>
    <m/>
    <m/>
    <m/>
    <m/>
    <m/>
    <m/>
    <m/>
    <n v="554.0710451221471"/>
    <m/>
  </r>
  <r>
    <x v="24"/>
    <x v="0"/>
    <m/>
    <m/>
    <m/>
    <m/>
    <m/>
    <m/>
    <m/>
    <m/>
    <m/>
    <m/>
    <m/>
    <m/>
    <m/>
    <m/>
    <m/>
    <m/>
    <m/>
    <m/>
    <m/>
    <m/>
    <m/>
    <n v="118.41675655745881"/>
    <m/>
  </r>
  <r>
    <x v="24"/>
    <x v="1"/>
    <m/>
    <m/>
    <m/>
    <m/>
    <m/>
    <m/>
    <m/>
    <m/>
    <m/>
    <m/>
    <m/>
    <m/>
    <m/>
    <m/>
    <m/>
    <m/>
    <m/>
    <m/>
    <m/>
    <m/>
    <m/>
    <n v="176.35008989079213"/>
    <m/>
  </r>
  <r>
    <x v="24"/>
    <x v="2"/>
    <m/>
    <m/>
    <m/>
    <m/>
    <m/>
    <m/>
    <m/>
    <m/>
    <m/>
    <m/>
    <m/>
    <m/>
    <m/>
    <m/>
    <m/>
    <m/>
    <m/>
    <m/>
    <m/>
    <m/>
    <m/>
    <n v="265.56776231819526"/>
    <m/>
  </r>
  <r>
    <x v="24"/>
    <x v="3"/>
    <m/>
    <m/>
    <m/>
    <m/>
    <m/>
    <m/>
    <m/>
    <m/>
    <m/>
    <m/>
    <m/>
    <m/>
    <m/>
    <m/>
    <m/>
    <m/>
    <m/>
    <m/>
    <m/>
    <m/>
    <m/>
    <n v="334.55337789377279"/>
    <m/>
  </r>
  <r>
    <x v="24"/>
    <x v="4"/>
    <m/>
    <m/>
    <m/>
    <m/>
    <m/>
    <m/>
    <m/>
    <m/>
    <m/>
    <m/>
    <m/>
    <m/>
    <m/>
    <m/>
    <m/>
    <m/>
    <m/>
    <m/>
    <m/>
    <m/>
    <m/>
    <n v="290.41825857044148"/>
    <m/>
  </r>
  <r>
    <x v="24"/>
    <x v="5"/>
    <m/>
    <m/>
    <m/>
    <m/>
    <m/>
    <m/>
    <m/>
    <m/>
    <m/>
    <m/>
    <m/>
    <m/>
    <m/>
    <m/>
    <m/>
    <m/>
    <m/>
    <m/>
    <m/>
    <m/>
    <m/>
    <n v="315.64857528957663"/>
    <m/>
  </r>
  <r>
    <x v="24"/>
    <x v="6"/>
    <m/>
    <m/>
    <m/>
    <m/>
    <m/>
    <m/>
    <m/>
    <m/>
    <m/>
    <m/>
    <m/>
    <m/>
    <m/>
    <m/>
    <m/>
    <m/>
    <m/>
    <m/>
    <m/>
    <m/>
    <m/>
    <n v="232.65675252977104"/>
    <m/>
  </r>
  <r>
    <x v="25"/>
    <x v="0"/>
    <m/>
    <m/>
    <m/>
    <m/>
    <m/>
    <m/>
    <m/>
    <m/>
    <m/>
    <m/>
    <m/>
    <m/>
    <m/>
    <m/>
    <m/>
    <m/>
    <m/>
    <m/>
    <m/>
    <m/>
    <m/>
    <n v="1896.0167290857139"/>
    <m/>
  </r>
  <r>
    <x v="25"/>
    <x v="1"/>
    <m/>
    <m/>
    <m/>
    <m/>
    <m/>
    <m/>
    <m/>
    <m/>
    <m/>
    <m/>
    <m/>
    <m/>
    <m/>
    <m/>
    <m/>
    <m/>
    <m/>
    <m/>
    <m/>
    <m/>
    <m/>
    <n v="3004.1233957523805"/>
    <m/>
  </r>
  <r>
    <x v="25"/>
    <x v="2"/>
    <m/>
    <m/>
    <m/>
    <m/>
    <m/>
    <m/>
    <m/>
    <m/>
    <m/>
    <m/>
    <m/>
    <m/>
    <m/>
    <m/>
    <m/>
    <m/>
    <m/>
    <m/>
    <m/>
    <m/>
    <m/>
    <n v="4284.2987424095581"/>
    <m/>
  </r>
  <r>
    <x v="25"/>
    <x v="3"/>
    <m/>
    <m/>
    <m/>
    <m/>
    <m/>
    <m/>
    <m/>
    <m/>
    <m/>
    <m/>
    <m/>
    <m/>
    <m/>
    <m/>
    <m/>
    <m/>
    <m/>
    <m/>
    <m/>
    <m/>
    <m/>
    <n v="5335.5979939767576"/>
    <m/>
  </r>
  <r>
    <x v="25"/>
    <x v="4"/>
    <m/>
    <m/>
    <m/>
    <m/>
    <m/>
    <m/>
    <m/>
    <m/>
    <m/>
    <m/>
    <m/>
    <m/>
    <m/>
    <m/>
    <m/>
    <m/>
    <m/>
    <m/>
    <m/>
    <m/>
    <m/>
    <n v="4656.1026566397868"/>
    <m/>
  </r>
  <r>
    <x v="25"/>
    <x v="5"/>
    <m/>
    <m/>
    <m/>
    <m/>
    <m/>
    <m/>
    <m/>
    <m/>
    <m/>
    <m/>
    <m/>
    <m/>
    <m/>
    <m/>
    <m/>
    <m/>
    <m/>
    <m/>
    <m/>
    <m/>
    <m/>
    <n v="5035.8227527873769"/>
    <m/>
  </r>
  <r>
    <x v="25"/>
    <x v="6"/>
    <m/>
    <m/>
    <m/>
    <m/>
    <m/>
    <m/>
    <m/>
    <m/>
    <m/>
    <m/>
    <m/>
    <m/>
    <m/>
    <m/>
    <m/>
    <m/>
    <m/>
    <m/>
    <m/>
    <m/>
    <m/>
    <n v="3757.5940503824645"/>
    <m/>
  </r>
  <r>
    <x v="26"/>
    <x v="0"/>
    <m/>
    <m/>
    <m/>
    <m/>
    <m/>
    <m/>
    <m/>
    <m/>
    <m/>
    <m/>
    <m/>
    <m/>
    <m/>
    <m/>
    <m/>
    <m/>
    <m/>
    <m/>
    <m/>
    <m/>
    <m/>
    <n v="267.10809853881295"/>
    <m/>
  </r>
  <r>
    <x v="26"/>
    <x v="1"/>
    <m/>
    <m/>
    <m/>
    <m/>
    <m/>
    <m/>
    <m/>
    <m/>
    <m/>
    <m/>
    <m/>
    <m/>
    <m/>
    <m/>
    <m/>
    <m/>
    <m/>
    <m/>
    <m/>
    <m/>
    <m/>
    <n v="332.41476520547963"/>
    <m/>
  </r>
  <r>
    <x v="26"/>
    <x v="2"/>
    <m/>
    <m/>
    <m/>
    <m/>
    <m/>
    <m/>
    <m/>
    <m/>
    <m/>
    <m/>
    <m/>
    <m/>
    <m/>
    <m/>
    <m/>
    <m/>
    <m/>
    <m/>
    <m/>
    <m/>
    <m/>
    <n v="587.37360292817607"/>
    <m/>
  </r>
  <r>
    <x v="26"/>
    <x v="3"/>
    <m/>
    <m/>
    <m/>
    <m/>
    <m/>
    <m/>
    <m/>
    <m/>
    <m/>
    <m/>
    <m/>
    <m/>
    <m/>
    <m/>
    <m/>
    <m/>
    <m/>
    <m/>
    <m/>
    <m/>
    <m/>
    <n v="762.26805145549122"/>
    <m/>
  </r>
  <r>
    <x v="26"/>
    <x v="4"/>
    <m/>
    <m/>
    <m/>
    <m/>
    <m/>
    <m/>
    <m/>
    <m/>
    <m/>
    <m/>
    <m/>
    <m/>
    <m/>
    <m/>
    <m/>
    <m/>
    <m/>
    <m/>
    <m/>
    <m/>
    <m/>
    <n v="652.87508815379601"/>
    <m/>
  </r>
  <r>
    <x v="26"/>
    <x v="5"/>
    <m/>
    <m/>
    <m/>
    <m/>
    <m/>
    <m/>
    <m/>
    <m/>
    <m/>
    <m/>
    <m/>
    <m/>
    <m/>
    <m/>
    <m/>
    <m/>
    <m/>
    <m/>
    <m/>
    <m/>
    <m/>
    <n v="718.56888963905044"/>
    <m/>
  </r>
  <r>
    <x v="26"/>
    <x v="6"/>
    <m/>
    <m/>
    <m/>
    <m/>
    <m/>
    <m/>
    <m/>
    <m/>
    <m/>
    <m/>
    <m/>
    <m/>
    <m/>
    <m/>
    <m/>
    <m/>
    <m/>
    <m/>
    <m/>
    <m/>
    <m/>
    <n v="513.04832232078797"/>
    <m/>
  </r>
  <r>
    <x v="27"/>
    <x v="0"/>
    <m/>
    <m/>
    <m/>
    <m/>
    <m/>
    <m/>
    <m/>
    <m/>
    <m/>
    <m/>
    <m/>
    <m/>
    <m/>
    <m/>
    <m/>
    <m/>
    <m/>
    <m/>
    <m/>
    <m/>
    <m/>
    <n v="21843.234494547825"/>
    <m/>
  </r>
  <r>
    <x v="27"/>
    <x v="1"/>
    <m/>
    <m/>
    <m/>
    <m/>
    <m/>
    <m/>
    <m/>
    <m/>
    <m/>
    <m/>
    <m/>
    <m/>
    <m/>
    <m/>
    <m/>
    <m/>
    <m/>
    <m/>
    <m/>
    <m/>
    <m/>
    <n v="32412.381161214493"/>
    <m/>
  </r>
  <r>
    <x v="27"/>
    <x v="2"/>
    <m/>
    <m/>
    <m/>
    <m/>
    <m/>
    <m/>
    <m/>
    <m/>
    <m/>
    <m/>
    <m/>
    <m/>
    <m/>
    <m/>
    <m/>
    <m/>
    <m/>
    <m/>
    <m/>
    <m/>
    <m/>
    <n v="48965.894873855577"/>
    <m/>
  </r>
  <r>
    <x v="27"/>
    <x v="3"/>
    <m/>
    <m/>
    <m/>
    <m/>
    <m/>
    <m/>
    <m/>
    <m/>
    <m/>
    <m/>
    <m/>
    <m/>
    <m/>
    <m/>
    <m/>
    <m/>
    <m/>
    <m/>
    <m/>
    <m/>
    <m/>
    <n v="61725.627084913998"/>
    <m/>
  </r>
  <r>
    <x v="27"/>
    <x v="4"/>
    <m/>
    <m/>
    <m/>
    <m/>
    <m/>
    <m/>
    <m/>
    <m/>
    <m/>
    <m/>
    <m/>
    <m/>
    <m/>
    <m/>
    <m/>
    <m/>
    <m/>
    <m/>
    <m/>
    <m/>
    <m/>
    <n v="53566.782183287345"/>
    <m/>
  </r>
  <r>
    <x v="27"/>
    <x v="5"/>
    <m/>
    <m/>
    <m/>
    <m/>
    <m/>
    <m/>
    <m/>
    <m/>
    <m/>
    <m/>
    <m/>
    <m/>
    <m/>
    <m/>
    <m/>
    <m/>
    <m/>
    <m/>
    <m/>
    <m/>
    <m/>
    <n v="58236.53945595205"/>
    <m/>
  </r>
  <r>
    <x v="27"/>
    <x v="6"/>
    <m/>
    <m/>
    <m/>
    <m/>
    <m/>
    <m/>
    <m/>
    <m/>
    <m/>
    <m/>
    <m/>
    <m/>
    <m/>
    <m/>
    <m/>
    <m/>
    <m/>
    <m/>
    <m/>
    <m/>
    <m/>
    <n v="42894.947888452938"/>
    <m/>
  </r>
  <r>
    <x v="0"/>
    <x v="0"/>
    <m/>
    <m/>
    <m/>
    <m/>
    <m/>
    <m/>
    <m/>
    <m/>
    <m/>
    <m/>
    <m/>
    <m/>
    <m/>
    <m/>
    <m/>
    <m/>
    <m/>
    <m/>
    <m/>
    <m/>
    <m/>
    <m/>
    <n v="0"/>
  </r>
  <r>
    <x v="0"/>
    <x v="1"/>
    <m/>
    <m/>
    <m/>
    <m/>
    <m/>
    <m/>
    <m/>
    <m/>
    <m/>
    <m/>
    <m/>
    <m/>
    <m/>
    <m/>
    <m/>
    <m/>
    <m/>
    <m/>
    <m/>
    <m/>
    <m/>
    <m/>
    <n v="0"/>
  </r>
  <r>
    <x v="0"/>
    <x v="2"/>
    <m/>
    <m/>
    <m/>
    <m/>
    <m/>
    <m/>
    <m/>
    <m/>
    <m/>
    <m/>
    <m/>
    <m/>
    <m/>
    <m/>
    <m/>
    <m/>
    <m/>
    <m/>
    <m/>
    <m/>
    <m/>
    <m/>
    <n v="70"/>
  </r>
  <r>
    <x v="0"/>
    <x v="3"/>
    <m/>
    <m/>
    <m/>
    <m/>
    <m/>
    <m/>
    <m/>
    <m/>
    <m/>
    <m/>
    <m/>
    <m/>
    <m/>
    <m/>
    <m/>
    <m/>
    <m/>
    <m/>
    <m/>
    <m/>
    <m/>
    <m/>
    <n v="75.752727272727256"/>
  </r>
  <r>
    <x v="0"/>
    <x v="4"/>
    <m/>
    <m/>
    <m/>
    <m/>
    <m/>
    <m/>
    <m/>
    <m/>
    <m/>
    <m/>
    <m/>
    <m/>
    <m/>
    <m/>
    <m/>
    <m/>
    <m/>
    <m/>
    <m/>
    <m/>
    <m/>
    <m/>
    <n v="93.672727272727272"/>
  </r>
  <r>
    <x v="0"/>
    <x v="5"/>
    <m/>
    <m/>
    <m/>
    <m/>
    <m/>
    <m/>
    <m/>
    <m/>
    <m/>
    <m/>
    <m/>
    <m/>
    <m/>
    <m/>
    <m/>
    <m/>
    <m/>
    <m/>
    <m/>
    <m/>
    <m/>
    <m/>
    <n v="105.28"/>
  </r>
  <r>
    <x v="0"/>
    <x v="6"/>
    <m/>
    <m/>
    <m/>
    <m/>
    <m/>
    <m/>
    <m/>
    <m/>
    <m/>
    <m/>
    <m/>
    <m/>
    <m/>
    <m/>
    <m/>
    <m/>
    <m/>
    <m/>
    <m/>
    <m/>
    <m/>
    <m/>
    <n v="84.458181818181799"/>
  </r>
  <r>
    <x v="0"/>
    <x v="7"/>
    <m/>
    <m/>
    <m/>
    <m/>
    <m/>
    <m/>
    <m/>
    <m/>
    <m/>
    <m/>
    <m/>
    <m/>
    <m/>
    <m/>
    <m/>
    <m/>
    <m/>
    <m/>
    <m/>
    <m/>
    <m/>
    <m/>
    <n v="429.16363636363639"/>
  </r>
  <r>
    <x v="1"/>
    <x v="0"/>
    <m/>
    <m/>
    <m/>
    <m/>
    <m/>
    <m/>
    <m/>
    <m/>
    <m/>
    <m/>
    <m/>
    <m/>
    <m/>
    <m/>
    <m/>
    <m/>
    <m/>
    <m/>
    <m/>
    <m/>
    <m/>
    <m/>
    <n v="0"/>
  </r>
  <r>
    <x v="1"/>
    <x v="1"/>
    <m/>
    <m/>
    <m/>
    <m/>
    <m/>
    <m/>
    <m/>
    <m/>
    <m/>
    <m/>
    <m/>
    <m/>
    <m/>
    <m/>
    <m/>
    <m/>
    <m/>
    <m/>
    <m/>
    <m/>
    <m/>
    <m/>
    <n v="0"/>
  </r>
  <r>
    <x v="1"/>
    <x v="2"/>
    <m/>
    <m/>
    <m/>
    <m/>
    <m/>
    <m/>
    <m/>
    <m/>
    <m/>
    <m/>
    <m/>
    <m/>
    <m/>
    <m/>
    <m/>
    <m/>
    <m/>
    <m/>
    <m/>
    <m/>
    <m/>
    <m/>
    <n v="70"/>
  </r>
  <r>
    <x v="1"/>
    <x v="3"/>
    <m/>
    <m/>
    <m/>
    <m/>
    <m/>
    <m/>
    <m/>
    <m/>
    <m/>
    <m/>
    <m/>
    <m/>
    <m/>
    <m/>
    <m/>
    <m/>
    <m/>
    <m/>
    <m/>
    <m/>
    <m/>
    <m/>
    <n v="75.75272727272727"/>
  </r>
  <r>
    <x v="1"/>
    <x v="4"/>
    <m/>
    <m/>
    <m/>
    <m/>
    <m/>
    <m/>
    <m/>
    <m/>
    <m/>
    <m/>
    <m/>
    <m/>
    <m/>
    <m/>
    <m/>
    <m/>
    <m/>
    <m/>
    <m/>
    <m/>
    <m/>
    <m/>
    <n v="93.672727272727286"/>
  </r>
  <r>
    <x v="1"/>
    <x v="5"/>
    <m/>
    <m/>
    <m/>
    <m/>
    <m/>
    <m/>
    <m/>
    <m/>
    <m/>
    <m/>
    <m/>
    <m/>
    <m/>
    <m/>
    <m/>
    <m/>
    <m/>
    <m/>
    <m/>
    <m/>
    <m/>
    <m/>
    <n v="105.28"/>
  </r>
  <r>
    <x v="1"/>
    <x v="6"/>
    <m/>
    <m/>
    <m/>
    <m/>
    <m/>
    <m/>
    <m/>
    <m/>
    <m/>
    <m/>
    <m/>
    <m/>
    <m/>
    <m/>
    <m/>
    <m/>
    <m/>
    <m/>
    <m/>
    <m/>
    <m/>
    <m/>
    <n v="84.458181818181814"/>
  </r>
  <r>
    <x v="1"/>
    <x v="7"/>
    <m/>
    <m/>
    <m/>
    <m/>
    <m/>
    <m/>
    <m/>
    <m/>
    <m/>
    <m/>
    <m/>
    <m/>
    <m/>
    <m/>
    <m/>
    <m/>
    <m/>
    <m/>
    <m/>
    <m/>
    <m/>
    <m/>
    <n v="429.16363636363639"/>
  </r>
  <r>
    <x v="2"/>
    <x v="0"/>
    <m/>
    <m/>
    <m/>
    <m/>
    <m/>
    <m/>
    <m/>
    <m/>
    <m/>
    <m/>
    <m/>
    <m/>
    <m/>
    <m/>
    <m/>
    <m/>
    <m/>
    <m/>
    <m/>
    <m/>
    <m/>
    <m/>
    <n v="0"/>
  </r>
  <r>
    <x v="2"/>
    <x v="1"/>
    <m/>
    <m/>
    <m/>
    <m/>
    <m/>
    <m/>
    <m/>
    <m/>
    <m/>
    <m/>
    <m/>
    <m/>
    <m/>
    <m/>
    <m/>
    <m/>
    <m/>
    <m/>
    <m/>
    <m/>
    <m/>
    <m/>
    <n v="0"/>
  </r>
  <r>
    <x v="2"/>
    <x v="2"/>
    <m/>
    <m/>
    <m/>
    <m/>
    <m/>
    <m/>
    <m/>
    <m/>
    <m/>
    <m/>
    <m/>
    <m/>
    <m/>
    <m/>
    <m/>
    <m/>
    <m/>
    <m/>
    <m/>
    <m/>
    <m/>
    <m/>
    <n v="70"/>
  </r>
  <r>
    <x v="2"/>
    <x v="3"/>
    <m/>
    <m/>
    <m/>
    <m/>
    <m/>
    <m/>
    <m/>
    <m/>
    <m/>
    <m/>
    <m/>
    <m/>
    <m/>
    <m/>
    <m/>
    <m/>
    <m/>
    <m/>
    <m/>
    <m/>
    <m/>
    <m/>
    <n v="75.75272727272727"/>
  </r>
  <r>
    <x v="2"/>
    <x v="4"/>
    <m/>
    <m/>
    <m/>
    <m/>
    <m/>
    <m/>
    <m/>
    <m/>
    <m/>
    <m/>
    <m/>
    <m/>
    <m/>
    <m/>
    <m/>
    <m/>
    <m/>
    <m/>
    <m/>
    <m/>
    <m/>
    <m/>
    <n v="93.672727272727286"/>
  </r>
  <r>
    <x v="2"/>
    <x v="5"/>
    <m/>
    <m/>
    <m/>
    <m/>
    <m/>
    <m/>
    <m/>
    <m/>
    <m/>
    <m/>
    <m/>
    <m/>
    <m/>
    <m/>
    <m/>
    <m/>
    <m/>
    <m/>
    <m/>
    <m/>
    <m/>
    <m/>
    <n v="105.28"/>
  </r>
  <r>
    <x v="2"/>
    <x v="6"/>
    <m/>
    <m/>
    <m/>
    <m/>
    <m/>
    <m/>
    <m/>
    <m/>
    <m/>
    <m/>
    <m/>
    <m/>
    <m/>
    <m/>
    <m/>
    <m/>
    <m/>
    <m/>
    <m/>
    <m/>
    <m/>
    <m/>
    <n v="84.458181818181814"/>
  </r>
  <r>
    <x v="2"/>
    <x v="7"/>
    <m/>
    <m/>
    <m/>
    <m/>
    <m/>
    <m/>
    <m/>
    <m/>
    <m/>
    <m/>
    <m/>
    <m/>
    <m/>
    <m/>
    <m/>
    <m/>
    <m/>
    <m/>
    <m/>
    <m/>
    <m/>
    <m/>
    <n v="429.16363636363639"/>
  </r>
  <r>
    <x v="3"/>
    <x v="0"/>
    <m/>
    <m/>
    <m/>
    <m/>
    <m/>
    <m/>
    <m/>
    <m/>
    <m/>
    <m/>
    <m/>
    <m/>
    <m/>
    <m/>
    <m/>
    <m/>
    <m/>
    <m/>
    <m/>
    <m/>
    <m/>
    <m/>
    <n v="0"/>
  </r>
  <r>
    <x v="3"/>
    <x v="1"/>
    <m/>
    <m/>
    <m/>
    <m/>
    <m/>
    <m/>
    <m/>
    <m/>
    <m/>
    <m/>
    <m/>
    <m/>
    <m/>
    <m/>
    <m/>
    <m/>
    <m/>
    <m/>
    <m/>
    <m/>
    <m/>
    <m/>
    <n v="0"/>
  </r>
  <r>
    <x v="3"/>
    <x v="2"/>
    <m/>
    <m/>
    <m/>
    <m/>
    <m/>
    <m/>
    <m/>
    <m/>
    <m/>
    <m/>
    <m/>
    <m/>
    <m/>
    <m/>
    <m/>
    <m/>
    <m/>
    <m/>
    <m/>
    <m/>
    <m/>
    <m/>
    <n v="70"/>
  </r>
  <r>
    <x v="3"/>
    <x v="3"/>
    <m/>
    <m/>
    <m/>
    <m/>
    <m/>
    <m/>
    <m/>
    <m/>
    <m/>
    <m/>
    <m/>
    <m/>
    <m/>
    <m/>
    <m/>
    <m/>
    <m/>
    <m/>
    <m/>
    <m/>
    <m/>
    <m/>
    <n v="75.75272727272727"/>
  </r>
  <r>
    <x v="3"/>
    <x v="4"/>
    <m/>
    <m/>
    <m/>
    <m/>
    <m/>
    <m/>
    <m/>
    <m/>
    <m/>
    <m/>
    <m/>
    <m/>
    <m/>
    <m/>
    <m/>
    <m/>
    <m/>
    <m/>
    <m/>
    <m/>
    <m/>
    <m/>
    <n v="93.672727272727286"/>
  </r>
  <r>
    <x v="3"/>
    <x v="5"/>
    <m/>
    <m/>
    <m/>
    <m/>
    <m/>
    <m/>
    <m/>
    <m/>
    <m/>
    <m/>
    <m/>
    <m/>
    <m/>
    <m/>
    <m/>
    <m/>
    <m/>
    <m/>
    <m/>
    <m/>
    <m/>
    <m/>
    <n v="105.28000000000002"/>
  </r>
  <r>
    <x v="3"/>
    <x v="6"/>
    <m/>
    <m/>
    <m/>
    <m/>
    <m/>
    <m/>
    <m/>
    <m/>
    <m/>
    <m/>
    <m/>
    <m/>
    <m/>
    <m/>
    <m/>
    <m/>
    <m/>
    <m/>
    <m/>
    <m/>
    <m/>
    <m/>
    <n v="84.458181818181814"/>
  </r>
  <r>
    <x v="3"/>
    <x v="7"/>
    <m/>
    <m/>
    <m/>
    <m/>
    <m/>
    <m/>
    <m/>
    <m/>
    <m/>
    <m/>
    <m/>
    <m/>
    <m/>
    <m/>
    <m/>
    <m/>
    <m/>
    <m/>
    <m/>
    <m/>
    <m/>
    <m/>
    <n v="429.16363636363639"/>
  </r>
  <r>
    <x v="4"/>
    <x v="0"/>
    <m/>
    <m/>
    <m/>
    <m/>
    <m/>
    <m/>
    <m/>
    <m/>
    <m/>
    <m/>
    <m/>
    <m/>
    <m/>
    <m/>
    <m/>
    <m/>
    <m/>
    <m/>
    <m/>
    <m/>
    <m/>
    <m/>
    <n v="0"/>
  </r>
  <r>
    <x v="4"/>
    <x v="1"/>
    <m/>
    <m/>
    <m/>
    <m/>
    <m/>
    <m/>
    <m/>
    <m/>
    <m/>
    <m/>
    <m/>
    <m/>
    <m/>
    <m/>
    <m/>
    <m/>
    <m/>
    <m/>
    <m/>
    <m/>
    <m/>
    <m/>
    <n v="0"/>
  </r>
  <r>
    <x v="4"/>
    <x v="2"/>
    <m/>
    <m/>
    <m/>
    <m/>
    <m/>
    <m/>
    <m/>
    <m/>
    <m/>
    <m/>
    <m/>
    <m/>
    <m/>
    <m/>
    <m/>
    <m/>
    <m/>
    <m/>
    <m/>
    <m/>
    <m/>
    <m/>
    <n v="70"/>
  </r>
  <r>
    <x v="4"/>
    <x v="3"/>
    <m/>
    <m/>
    <m/>
    <m/>
    <m/>
    <m/>
    <m/>
    <m/>
    <m/>
    <m/>
    <m/>
    <m/>
    <m/>
    <m/>
    <m/>
    <m/>
    <m/>
    <m/>
    <m/>
    <m/>
    <m/>
    <m/>
    <n v="75.75272727272727"/>
  </r>
  <r>
    <x v="4"/>
    <x v="4"/>
    <m/>
    <m/>
    <m/>
    <m/>
    <m/>
    <m/>
    <m/>
    <m/>
    <m/>
    <m/>
    <m/>
    <m/>
    <m/>
    <m/>
    <m/>
    <m/>
    <m/>
    <m/>
    <m/>
    <m/>
    <m/>
    <m/>
    <n v="93.672727272727286"/>
  </r>
  <r>
    <x v="4"/>
    <x v="5"/>
    <m/>
    <m/>
    <m/>
    <m/>
    <m/>
    <m/>
    <m/>
    <m/>
    <m/>
    <m/>
    <m/>
    <m/>
    <m/>
    <m/>
    <m/>
    <m/>
    <m/>
    <m/>
    <m/>
    <m/>
    <m/>
    <m/>
    <n v="105.28"/>
  </r>
  <r>
    <x v="4"/>
    <x v="6"/>
    <m/>
    <m/>
    <m/>
    <m/>
    <m/>
    <m/>
    <m/>
    <m/>
    <m/>
    <m/>
    <m/>
    <m/>
    <m/>
    <m/>
    <m/>
    <m/>
    <m/>
    <m/>
    <m/>
    <m/>
    <m/>
    <m/>
    <n v="84.458181818181814"/>
  </r>
  <r>
    <x v="4"/>
    <x v="7"/>
    <m/>
    <m/>
    <m/>
    <m/>
    <m/>
    <m/>
    <m/>
    <m/>
    <m/>
    <m/>
    <m/>
    <m/>
    <m/>
    <m/>
    <m/>
    <m/>
    <m/>
    <m/>
    <m/>
    <m/>
    <m/>
    <m/>
    <n v="429.16363636363639"/>
  </r>
  <r>
    <x v="5"/>
    <x v="0"/>
    <m/>
    <m/>
    <m/>
    <m/>
    <m/>
    <m/>
    <m/>
    <m/>
    <m/>
    <m/>
    <m/>
    <m/>
    <m/>
    <m/>
    <m/>
    <m/>
    <m/>
    <m/>
    <m/>
    <m/>
    <m/>
    <m/>
    <n v="0"/>
  </r>
  <r>
    <x v="5"/>
    <x v="1"/>
    <m/>
    <m/>
    <m/>
    <m/>
    <m/>
    <m/>
    <m/>
    <m/>
    <m/>
    <m/>
    <m/>
    <m/>
    <m/>
    <m/>
    <m/>
    <m/>
    <m/>
    <m/>
    <m/>
    <m/>
    <m/>
    <m/>
    <n v="0"/>
  </r>
  <r>
    <x v="5"/>
    <x v="2"/>
    <m/>
    <m/>
    <m/>
    <m/>
    <m/>
    <m/>
    <m/>
    <m/>
    <m/>
    <m/>
    <m/>
    <m/>
    <m/>
    <m/>
    <m/>
    <m/>
    <m/>
    <m/>
    <m/>
    <m/>
    <m/>
    <m/>
    <n v="70"/>
  </r>
  <r>
    <x v="5"/>
    <x v="3"/>
    <m/>
    <m/>
    <m/>
    <m/>
    <m/>
    <m/>
    <m/>
    <m/>
    <m/>
    <m/>
    <m/>
    <m/>
    <m/>
    <m/>
    <m/>
    <m/>
    <m/>
    <m/>
    <m/>
    <m/>
    <m/>
    <m/>
    <n v="75.752727272727256"/>
  </r>
  <r>
    <x v="5"/>
    <x v="4"/>
    <m/>
    <m/>
    <m/>
    <m/>
    <m/>
    <m/>
    <m/>
    <m/>
    <m/>
    <m/>
    <m/>
    <m/>
    <m/>
    <m/>
    <m/>
    <m/>
    <m/>
    <m/>
    <m/>
    <m/>
    <m/>
    <m/>
    <n v="93.672727272727286"/>
  </r>
  <r>
    <x v="5"/>
    <x v="5"/>
    <m/>
    <m/>
    <m/>
    <m/>
    <m/>
    <m/>
    <m/>
    <m/>
    <m/>
    <m/>
    <m/>
    <m/>
    <m/>
    <m/>
    <m/>
    <m/>
    <m/>
    <m/>
    <m/>
    <m/>
    <m/>
    <m/>
    <n v="105.27999999999999"/>
  </r>
  <r>
    <x v="5"/>
    <x v="6"/>
    <m/>
    <m/>
    <m/>
    <m/>
    <m/>
    <m/>
    <m/>
    <m/>
    <m/>
    <m/>
    <m/>
    <m/>
    <m/>
    <m/>
    <m/>
    <m/>
    <m/>
    <m/>
    <m/>
    <m/>
    <m/>
    <m/>
    <n v="84.458181818181814"/>
  </r>
  <r>
    <x v="5"/>
    <x v="7"/>
    <m/>
    <m/>
    <m/>
    <m/>
    <m/>
    <m/>
    <m/>
    <m/>
    <m/>
    <m/>
    <m/>
    <m/>
    <m/>
    <m/>
    <m/>
    <m/>
    <m/>
    <m/>
    <m/>
    <m/>
    <m/>
    <m/>
    <n v="429.16363636363633"/>
  </r>
  <r>
    <x v="6"/>
    <x v="0"/>
    <m/>
    <m/>
    <m/>
    <m/>
    <m/>
    <m/>
    <m/>
    <m/>
    <m/>
    <m/>
    <m/>
    <m/>
    <m/>
    <m/>
    <m/>
    <m/>
    <m/>
    <m/>
    <m/>
    <m/>
    <m/>
    <m/>
    <n v="0"/>
  </r>
  <r>
    <x v="6"/>
    <x v="1"/>
    <m/>
    <m/>
    <m/>
    <m/>
    <m/>
    <m/>
    <m/>
    <m/>
    <m/>
    <m/>
    <m/>
    <m/>
    <m/>
    <m/>
    <m/>
    <m/>
    <m/>
    <m/>
    <m/>
    <m/>
    <m/>
    <m/>
    <n v="0"/>
  </r>
  <r>
    <x v="6"/>
    <x v="2"/>
    <m/>
    <m/>
    <m/>
    <m/>
    <m/>
    <m/>
    <m/>
    <m/>
    <m/>
    <m/>
    <m/>
    <m/>
    <m/>
    <m/>
    <m/>
    <m/>
    <m/>
    <m/>
    <m/>
    <m/>
    <m/>
    <m/>
    <n v="70"/>
  </r>
  <r>
    <x v="6"/>
    <x v="3"/>
    <m/>
    <m/>
    <m/>
    <m/>
    <m/>
    <m/>
    <m/>
    <m/>
    <m/>
    <m/>
    <m/>
    <m/>
    <m/>
    <m/>
    <m/>
    <m/>
    <m/>
    <m/>
    <m/>
    <m/>
    <m/>
    <m/>
    <n v="75.75272727272727"/>
  </r>
  <r>
    <x v="6"/>
    <x v="4"/>
    <m/>
    <m/>
    <m/>
    <m/>
    <m/>
    <m/>
    <m/>
    <m/>
    <m/>
    <m/>
    <m/>
    <m/>
    <m/>
    <m/>
    <m/>
    <m/>
    <m/>
    <m/>
    <m/>
    <m/>
    <m/>
    <m/>
    <n v="93.672727272727286"/>
  </r>
  <r>
    <x v="6"/>
    <x v="5"/>
    <m/>
    <m/>
    <m/>
    <m/>
    <m/>
    <m/>
    <m/>
    <m/>
    <m/>
    <m/>
    <m/>
    <m/>
    <m/>
    <m/>
    <m/>
    <m/>
    <m/>
    <m/>
    <m/>
    <m/>
    <m/>
    <m/>
    <n v="105.27999999999999"/>
  </r>
  <r>
    <x v="6"/>
    <x v="6"/>
    <m/>
    <m/>
    <m/>
    <m/>
    <m/>
    <m/>
    <m/>
    <m/>
    <m/>
    <m/>
    <m/>
    <m/>
    <m/>
    <m/>
    <m/>
    <m/>
    <m/>
    <m/>
    <m/>
    <m/>
    <m/>
    <m/>
    <n v="84.458181818181799"/>
  </r>
  <r>
    <x v="6"/>
    <x v="7"/>
    <m/>
    <m/>
    <m/>
    <m/>
    <m/>
    <m/>
    <m/>
    <m/>
    <m/>
    <m/>
    <m/>
    <m/>
    <m/>
    <m/>
    <m/>
    <m/>
    <m/>
    <m/>
    <m/>
    <m/>
    <m/>
    <m/>
    <n v="429.16363636363633"/>
  </r>
  <r>
    <x v="7"/>
    <x v="0"/>
    <m/>
    <m/>
    <m/>
    <m/>
    <m/>
    <m/>
    <m/>
    <m/>
    <m/>
    <m/>
    <m/>
    <m/>
    <m/>
    <m/>
    <m/>
    <m/>
    <m/>
    <m/>
    <m/>
    <m/>
    <m/>
    <m/>
    <n v="0"/>
  </r>
  <r>
    <x v="7"/>
    <x v="1"/>
    <m/>
    <m/>
    <m/>
    <m/>
    <m/>
    <m/>
    <m/>
    <m/>
    <m/>
    <m/>
    <m/>
    <m/>
    <m/>
    <m/>
    <m/>
    <m/>
    <m/>
    <m/>
    <m/>
    <m/>
    <m/>
    <m/>
    <n v="0"/>
  </r>
  <r>
    <x v="7"/>
    <x v="2"/>
    <m/>
    <m/>
    <m/>
    <m/>
    <m/>
    <m/>
    <m/>
    <m/>
    <m/>
    <m/>
    <m/>
    <m/>
    <m/>
    <m/>
    <m/>
    <m/>
    <m/>
    <m/>
    <m/>
    <m/>
    <m/>
    <m/>
    <n v="70"/>
  </r>
  <r>
    <x v="7"/>
    <x v="3"/>
    <m/>
    <m/>
    <m/>
    <m/>
    <m/>
    <m/>
    <m/>
    <m/>
    <m/>
    <m/>
    <m/>
    <m/>
    <m/>
    <m/>
    <m/>
    <m/>
    <m/>
    <m/>
    <m/>
    <m/>
    <m/>
    <m/>
    <n v="75.752727272727256"/>
  </r>
  <r>
    <x v="7"/>
    <x v="4"/>
    <m/>
    <m/>
    <m/>
    <m/>
    <m/>
    <m/>
    <m/>
    <m/>
    <m/>
    <m/>
    <m/>
    <m/>
    <m/>
    <m/>
    <m/>
    <m/>
    <m/>
    <m/>
    <m/>
    <m/>
    <m/>
    <m/>
    <n v="93.672727272727286"/>
  </r>
  <r>
    <x v="7"/>
    <x v="5"/>
    <m/>
    <m/>
    <m/>
    <m/>
    <m/>
    <m/>
    <m/>
    <m/>
    <m/>
    <m/>
    <m/>
    <m/>
    <m/>
    <m/>
    <m/>
    <m/>
    <m/>
    <m/>
    <m/>
    <m/>
    <m/>
    <m/>
    <n v="105.27999999999999"/>
  </r>
  <r>
    <x v="7"/>
    <x v="6"/>
    <m/>
    <m/>
    <m/>
    <m/>
    <m/>
    <m/>
    <m/>
    <m/>
    <m/>
    <m/>
    <m/>
    <m/>
    <m/>
    <m/>
    <m/>
    <m/>
    <m/>
    <m/>
    <m/>
    <m/>
    <m/>
    <m/>
    <n v="84.458181818181799"/>
  </r>
  <r>
    <x v="7"/>
    <x v="7"/>
    <m/>
    <m/>
    <m/>
    <m/>
    <m/>
    <m/>
    <m/>
    <m/>
    <m/>
    <m/>
    <m/>
    <m/>
    <m/>
    <m/>
    <m/>
    <m/>
    <m/>
    <m/>
    <m/>
    <m/>
    <m/>
    <m/>
    <n v="429.16363636363633"/>
  </r>
  <r>
    <x v="8"/>
    <x v="0"/>
    <m/>
    <m/>
    <m/>
    <m/>
    <m/>
    <m/>
    <m/>
    <m/>
    <m/>
    <m/>
    <m/>
    <m/>
    <m/>
    <m/>
    <m/>
    <m/>
    <m/>
    <m/>
    <m/>
    <m/>
    <m/>
    <m/>
    <n v="0"/>
  </r>
  <r>
    <x v="8"/>
    <x v="1"/>
    <m/>
    <m/>
    <m/>
    <m/>
    <m/>
    <m/>
    <m/>
    <m/>
    <m/>
    <m/>
    <m/>
    <m/>
    <m/>
    <m/>
    <m/>
    <m/>
    <m/>
    <m/>
    <m/>
    <m/>
    <m/>
    <m/>
    <n v="0"/>
  </r>
  <r>
    <x v="8"/>
    <x v="2"/>
    <m/>
    <m/>
    <m/>
    <m/>
    <m/>
    <m/>
    <m/>
    <m/>
    <m/>
    <m/>
    <m/>
    <m/>
    <m/>
    <m/>
    <m/>
    <m/>
    <m/>
    <m/>
    <m/>
    <m/>
    <m/>
    <m/>
    <n v="70"/>
  </r>
  <r>
    <x v="8"/>
    <x v="3"/>
    <m/>
    <m/>
    <m/>
    <m/>
    <m/>
    <m/>
    <m/>
    <m/>
    <m/>
    <m/>
    <m/>
    <m/>
    <m/>
    <m/>
    <m/>
    <m/>
    <m/>
    <m/>
    <m/>
    <m/>
    <m/>
    <m/>
    <n v="75.75272727272727"/>
  </r>
  <r>
    <x v="8"/>
    <x v="4"/>
    <m/>
    <m/>
    <m/>
    <m/>
    <m/>
    <m/>
    <m/>
    <m/>
    <m/>
    <m/>
    <m/>
    <m/>
    <m/>
    <m/>
    <m/>
    <m/>
    <m/>
    <m/>
    <m/>
    <m/>
    <m/>
    <m/>
    <n v="93.6727272727273"/>
  </r>
  <r>
    <x v="8"/>
    <x v="5"/>
    <m/>
    <m/>
    <m/>
    <m/>
    <m/>
    <m/>
    <m/>
    <m/>
    <m/>
    <m/>
    <m/>
    <m/>
    <m/>
    <m/>
    <m/>
    <m/>
    <m/>
    <m/>
    <m/>
    <m/>
    <m/>
    <m/>
    <n v="105.28000000000002"/>
  </r>
  <r>
    <x v="8"/>
    <x v="6"/>
    <m/>
    <m/>
    <m/>
    <m/>
    <m/>
    <m/>
    <m/>
    <m/>
    <m/>
    <m/>
    <m/>
    <m/>
    <m/>
    <m/>
    <m/>
    <m/>
    <m/>
    <m/>
    <m/>
    <m/>
    <m/>
    <m/>
    <n v="84.458181818181814"/>
  </r>
  <r>
    <x v="8"/>
    <x v="7"/>
    <m/>
    <m/>
    <m/>
    <m/>
    <m/>
    <m/>
    <m/>
    <m/>
    <m/>
    <m/>
    <m/>
    <m/>
    <m/>
    <m/>
    <m/>
    <m/>
    <m/>
    <m/>
    <m/>
    <m/>
    <m/>
    <m/>
    <n v="429.16363636363639"/>
  </r>
  <r>
    <x v="9"/>
    <x v="0"/>
    <m/>
    <m/>
    <m/>
    <m/>
    <m/>
    <m/>
    <m/>
    <m/>
    <m/>
    <m/>
    <m/>
    <m/>
    <m/>
    <m/>
    <m/>
    <m/>
    <m/>
    <m/>
    <m/>
    <m/>
    <m/>
    <m/>
    <n v="0"/>
  </r>
  <r>
    <x v="9"/>
    <x v="1"/>
    <m/>
    <m/>
    <m/>
    <m/>
    <m/>
    <m/>
    <m/>
    <m/>
    <m/>
    <m/>
    <m/>
    <m/>
    <m/>
    <m/>
    <m/>
    <m/>
    <m/>
    <m/>
    <m/>
    <m/>
    <m/>
    <m/>
    <n v="0"/>
  </r>
  <r>
    <x v="9"/>
    <x v="2"/>
    <m/>
    <m/>
    <m/>
    <m/>
    <m/>
    <m/>
    <m/>
    <m/>
    <m/>
    <m/>
    <m/>
    <m/>
    <m/>
    <m/>
    <m/>
    <m/>
    <m/>
    <m/>
    <m/>
    <m/>
    <m/>
    <m/>
    <n v="70"/>
  </r>
  <r>
    <x v="9"/>
    <x v="3"/>
    <m/>
    <m/>
    <m/>
    <m/>
    <m/>
    <m/>
    <m/>
    <m/>
    <m/>
    <m/>
    <m/>
    <m/>
    <m/>
    <m/>
    <m/>
    <m/>
    <m/>
    <m/>
    <m/>
    <m/>
    <m/>
    <m/>
    <n v="75.75272727272727"/>
  </r>
  <r>
    <x v="9"/>
    <x v="4"/>
    <m/>
    <m/>
    <m/>
    <m/>
    <m/>
    <m/>
    <m/>
    <m/>
    <m/>
    <m/>
    <m/>
    <m/>
    <m/>
    <m/>
    <m/>
    <m/>
    <m/>
    <m/>
    <m/>
    <m/>
    <m/>
    <m/>
    <n v="93.672727272727286"/>
  </r>
  <r>
    <x v="9"/>
    <x v="5"/>
    <m/>
    <m/>
    <m/>
    <m/>
    <m/>
    <m/>
    <m/>
    <m/>
    <m/>
    <m/>
    <m/>
    <m/>
    <m/>
    <m/>
    <m/>
    <m/>
    <m/>
    <m/>
    <m/>
    <m/>
    <m/>
    <m/>
    <n v="105.27999999999999"/>
  </r>
  <r>
    <x v="9"/>
    <x v="6"/>
    <m/>
    <m/>
    <m/>
    <m/>
    <m/>
    <m/>
    <m/>
    <m/>
    <m/>
    <m/>
    <m/>
    <m/>
    <m/>
    <m/>
    <m/>
    <m/>
    <m/>
    <m/>
    <m/>
    <m/>
    <m/>
    <m/>
    <n v="84.458181818181799"/>
  </r>
  <r>
    <x v="9"/>
    <x v="7"/>
    <m/>
    <m/>
    <m/>
    <m/>
    <m/>
    <m/>
    <m/>
    <m/>
    <m/>
    <m/>
    <m/>
    <m/>
    <m/>
    <m/>
    <m/>
    <m/>
    <m/>
    <m/>
    <m/>
    <m/>
    <m/>
    <m/>
    <n v="429.16363636363633"/>
  </r>
  <r>
    <x v="10"/>
    <x v="0"/>
    <m/>
    <m/>
    <m/>
    <m/>
    <m/>
    <m/>
    <m/>
    <m/>
    <m/>
    <m/>
    <m/>
    <m/>
    <m/>
    <m/>
    <m/>
    <m/>
    <m/>
    <m/>
    <m/>
    <m/>
    <m/>
    <m/>
    <n v="0"/>
  </r>
  <r>
    <x v="10"/>
    <x v="1"/>
    <m/>
    <m/>
    <m/>
    <m/>
    <m/>
    <m/>
    <m/>
    <m/>
    <m/>
    <m/>
    <m/>
    <m/>
    <m/>
    <m/>
    <m/>
    <m/>
    <m/>
    <m/>
    <m/>
    <m/>
    <m/>
    <m/>
    <n v="0"/>
  </r>
  <r>
    <x v="10"/>
    <x v="2"/>
    <m/>
    <m/>
    <m/>
    <m/>
    <m/>
    <m/>
    <m/>
    <m/>
    <m/>
    <m/>
    <m/>
    <m/>
    <m/>
    <m/>
    <m/>
    <m/>
    <m/>
    <m/>
    <m/>
    <m/>
    <m/>
    <m/>
    <n v="70"/>
  </r>
  <r>
    <x v="10"/>
    <x v="3"/>
    <m/>
    <m/>
    <m/>
    <m/>
    <m/>
    <m/>
    <m/>
    <m/>
    <m/>
    <m/>
    <m/>
    <m/>
    <m/>
    <m/>
    <m/>
    <m/>
    <m/>
    <m/>
    <m/>
    <m/>
    <m/>
    <m/>
    <n v="75.75272727272727"/>
  </r>
  <r>
    <x v="10"/>
    <x v="4"/>
    <m/>
    <m/>
    <m/>
    <m/>
    <m/>
    <m/>
    <m/>
    <m/>
    <m/>
    <m/>
    <m/>
    <m/>
    <m/>
    <m/>
    <m/>
    <m/>
    <m/>
    <m/>
    <m/>
    <m/>
    <m/>
    <m/>
    <n v="93.672727272727272"/>
  </r>
  <r>
    <x v="10"/>
    <x v="5"/>
    <m/>
    <m/>
    <m/>
    <m/>
    <m/>
    <m/>
    <m/>
    <m/>
    <m/>
    <m/>
    <m/>
    <m/>
    <m/>
    <m/>
    <m/>
    <m/>
    <m/>
    <m/>
    <m/>
    <m/>
    <m/>
    <m/>
    <n v="105.28"/>
  </r>
  <r>
    <x v="10"/>
    <x v="6"/>
    <m/>
    <m/>
    <m/>
    <m/>
    <m/>
    <m/>
    <m/>
    <m/>
    <m/>
    <m/>
    <m/>
    <m/>
    <m/>
    <m/>
    <m/>
    <m/>
    <m/>
    <m/>
    <m/>
    <m/>
    <m/>
    <m/>
    <n v="84.458181818181814"/>
  </r>
  <r>
    <x v="10"/>
    <x v="7"/>
    <m/>
    <m/>
    <m/>
    <m/>
    <m/>
    <m/>
    <m/>
    <m/>
    <m/>
    <m/>
    <m/>
    <m/>
    <m/>
    <m/>
    <m/>
    <m/>
    <m/>
    <m/>
    <m/>
    <m/>
    <m/>
    <m/>
    <n v="429.16363636363639"/>
  </r>
  <r>
    <x v="11"/>
    <x v="0"/>
    <m/>
    <m/>
    <m/>
    <m/>
    <m/>
    <m/>
    <m/>
    <m/>
    <m/>
    <m/>
    <m/>
    <m/>
    <m/>
    <m/>
    <m/>
    <m/>
    <m/>
    <m/>
    <m/>
    <m/>
    <m/>
    <m/>
    <n v="0"/>
  </r>
  <r>
    <x v="11"/>
    <x v="1"/>
    <m/>
    <m/>
    <m/>
    <m/>
    <m/>
    <m/>
    <m/>
    <m/>
    <m/>
    <m/>
    <m/>
    <m/>
    <m/>
    <m/>
    <m/>
    <m/>
    <m/>
    <m/>
    <m/>
    <m/>
    <m/>
    <m/>
    <n v="0"/>
  </r>
  <r>
    <x v="11"/>
    <x v="2"/>
    <m/>
    <m/>
    <m/>
    <m/>
    <m/>
    <m/>
    <m/>
    <m/>
    <m/>
    <m/>
    <m/>
    <m/>
    <m/>
    <m/>
    <m/>
    <m/>
    <m/>
    <m/>
    <m/>
    <m/>
    <m/>
    <m/>
    <n v="70"/>
  </r>
  <r>
    <x v="11"/>
    <x v="3"/>
    <m/>
    <m/>
    <m/>
    <m/>
    <m/>
    <m/>
    <m/>
    <m/>
    <m/>
    <m/>
    <m/>
    <m/>
    <m/>
    <m/>
    <m/>
    <m/>
    <m/>
    <m/>
    <m/>
    <m/>
    <m/>
    <m/>
    <n v="75.75272727272727"/>
  </r>
  <r>
    <x v="11"/>
    <x v="4"/>
    <m/>
    <m/>
    <m/>
    <m/>
    <m/>
    <m/>
    <m/>
    <m/>
    <m/>
    <m/>
    <m/>
    <m/>
    <m/>
    <m/>
    <m/>
    <m/>
    <m/>
    <m/>
    <m/>
    <m/>
    <m/>
    <m/>
    <n v="93.672727272727272"/>
  </r>
  <r>
    <x v="11"/>
    <x v="5"/>
    <m/>
    <m/>
    <m/>
    <m/>
    <m/>
    <m/>
    <m/>
    <m/>
    <m/>
    <m/>
    <m/>
    <m/>
    <m/>
    <m/>
    <m/>
    <m/>
    <m/>
    <m/>
    <m/>
    <m/>
    <m/>
    <m/>
    <n v="105.27999999999999"/>
  </r>
  <r>
    <x v="11"/>
    <x v="6"/>
    <m/>
    <m/>
    <m/>
    <m/>
    <m/>
    <m/>
    <m/>
    <m/>
    <m/>
    <m/>
    <m/>
    <m/>
    <m/>
    <m/>
    <m/>
    <m/>
    <m/>
    <m/>
    <m/>
    <m/>
    <m/>
    <m/>
    <n v="84.458181818181799"/>
  </r>
  <r>
    <x v="11"/>
    <x v="7"/>
    <m/>
    <m/>
    <m/>
    <m/>
    <m/>
    <m/>
    <m/>
    <m/>
    <m/>
    <m/>
    <m/>
    <m/>
    <m/>
    <m/>
    <m/>
    <m/>
    <m/>
    <m/>
    <m/>
    <m/>
    <m/>
    <m/>
    <n v="429.16363636363633"/>
  </r>
  <r>
    <x v="12"/>
    <x v="0"/>
    <m/>
    <m/>
    <m/>
    <m/>
    <m/>
    <m/>
    <m/>
    <m/>
    <m/>
    <m/>
    <m/>
    <m/>
    <m/>
    <m/>
    <m/>
    <m/>
    <m/>
    <m/>
    <m/>
    <m/>
    <m/>
    <m/>
    <n v="0"/>
  </r>
  <r>
    <x v="12"/>
    <x v="1"/>
    <m/>
    <m/>
    <m/>
    <m/>
    <m/>
    <m/>
    <m/>
    <m/>
    <m/>
    <m/>
    <m/>
    <m/>
    <m/>
    <m/>
    <m/>
    <m/>
    <m/>
    <m/>
    <m/>
    <m/>
    <m/>
    <m/>
    <n v="0"/>
  </r>
  <r>
    <x v="12"/>
    <x v="2"/>
    <m/>
    <m/>
    <m/>
    <m/>
    <m/>
    <m/>
    <m/>
    <m/>
    <m/>
    <m/>
    <m/>
    <m/>
    <m/>
    <m/>
    <m/>
    <m/>
    <m/>
    <m/>
    <m/>
    <m/>
    <m/>
    <m/>
    <n v="70"/>
  </r>
  <r>
    <x v="12"/>
    <x v="3"/>
    <m/>
    <m/>
    <m/>
    <m/>
    <m/>
    <m/>
    <m/>
    <m/>
    <m/>
    <m/>
    <m/>
    <m/>
    <m/>
    <m/>
    <m/>
    <m/>
    <m/>
    <m/>
    <m/>
    <m/>
    <m/>
    <m/>
    <n v="75.752727272727256"/>
  </r>
  <r>
    <x v="12"/>
    <x v="4"/>
    <m/>
    <m/>
    <m/>
    <m/>
    <m/>
    <m/>
    <m/>
    <m/>
    <m/>
    <m/>
    <m/>
    <m/>
    <m/>
    <m/>
    <m/>
    <m/>
    <m/>
    <m/>
    <m/>
    <m/>
    <m/>
    <m/>
    <n v="93.672727272727286"/>
  </r>
  <r>
    <x v="12"/>
    <x v="5"/>
    <m/>
    <m/>
    <m/>
    <m/>
    <m/>
    <m/>
    <m/>
    <m/>
    <m/>
    <m/>
    <m/>
    <m/>
    <m/>
    <m/>
    <m/>
    <m/>
    <m/>
    <m/>
    <m/>
    <m/>
    <m/>
    <m/>
    <n v="105.27999999999999"/>
  </r>
  <r>
    <x v="12"/>
    <x v="6"/>
    <m/>
    <m/>
    <m/>
    <m/>
    <m/>
    <m/>
    <m/>
    <m/>
    <m/>
    <m/>
    <m/>
    <m/>
    <m/>
    <m/>
    <m/>
    <m/>
    <m/>
    <m/>
    <m/>
    <m/>
    <m/>
    <m/>
    <n v="84.458181818181814"/>
  </r>
  <r>
    <x v="12"/>
    <x v="7"/>
    <m/>
    <m/>
    <m/>
    <m/>
    <m/>
    <m/>
    <m/>
    <m/>
    <m/>
    <m/>
    <m/>
    <m/>
    <m/>
    <m/>
    <m/>
    <m/>
    <m/>
    <m/>
    <m/>
    <m/>
    <m/>
    <m/>
    <n v="429.16363636363633"/>
  </r>
  <r>
    <x v="13"/>
    <x v="0"/>
    <m/>
    <m/>
    <m/>
    <m/>
    <m/>
    <m/>
    <m/>
    <m/>
    <m/>
    <m/>
    <m/>
    <m/>
    <m/>
    <m/>
    <m/>
    <m/>
    <m/>
    <m/>
    <m/>
    <m/>
    <m/>
    <m/>
    <n v="0"/>
  </r>
  <r>
    <x v="13"/>
    <x v="1"/>
    <m/>
    <m/>
    <m/>
    <m/>
    <m/>
    <m/>
    <m/>
    <m/>
    <m/>
    <m/>
    <m/>
    <m/>
    <m/>
    <m/>
    <m/>
    <m/>
    <m/>
    <m/>
    <m/>
    <m/>
    <m/>
    <m/>
    <n v="0"/>
  </r>
  <r>
    <x v="13"/>
    <x v="2"/>
    <m/>
    <m/>
    <m/>
    <m/>
    <m/>
    <m/>
    <m/>
    <m/>
    <m/>
    <m/>
    <m/>
    <m/>
    <m/>
    <m/>
    <m/>
    <m/>
    <m/>
    <m/>
    <m/>
    <m/>
    <m/>
    <m/>
    <n v="70"/>
  </r>
  <r>
    <x v="13"/>
    <x v="3"/>
    <m/>
    <m/>
    <m/>
    <m/>
    <m/>
    <m/>
    <m/>
    <m/>
    <m/>
    <m/>
    <m/>
    <m/>
    <m/>
    <m/>
    <m/>
    <m/>
    <m/>
    <m/>
    <m/>
    <m/>
    <m/>
    <m/>
    <n v="75.75272727272727"/>
  </r>
  <r>
    <x v="13"/>
    <x v="4"/>
    <m/>
    <m/>
    <m/>
    <m/>
    <m/>
    <m/>
    <m/>
    <m/>
    <m/>
    <m/>
    <m/>
    <m/>
    <m/>
    <m/>
    <m/>
    <m/>
    <m/>
    <m/>
    <m/>
    <m/>
    <m/>
    <m/>
    <n v="93.672727272727286"/>
  </r>
  <r>
    <x v="13"/>
    <x v="5"/>
    <m/>
    <m/>
    <m/>
    <m/>
    <m/>
    <m/>
    <m/>
    <m/>
    <m/>
    <m/>
    <m/>
    <m/>
    <m/>
    <m/>
    <m/>
    <m/>
    <m/>
    <m/>
    <m/>
    <m/>
    <m/>
    <m/>
    <n v="105.28"/>
  </r>
  <r>
    <x v="13"/>
    <x v="6"/>
    <m/>
    <m/>
    <m/>
    <m/>
    <m/>
    <m/>
    <m/>
    <m/>
    <m/>
    <m/>
    <m/>
    <m/>
    <m/>
    <m/>
    <m/>
    <m/>
    <m/>
    <m/>
    <m/>
    <m/>
    <m/>
    <m/>
    <n v="84.458181818181814"/>
  </r>
  <r>
    <x v="13"/>
    <x v="7"/>
    <m/>
    <m/>
    <m/>
    <m/>
    <m/>
    <m/>
    <m/>
    <m/>
    <m/>
    <m/>
    <m/>
    <m/>
    <m/>
    <m/>
    <m/>
    <m/>
    <m/>
    <m/>
    <m/>
    <m/>
    <m/>
    <m/>
    <n v="429.16363636363639"/>
  </r>
  <r>
    <x v="14"/>
    <x v="0"/>
    <m/>
    <m/>
    <m/>
    <m/>
    <m/>
    <m/>
    <m/>
    <m/>
    <m/>
    <m/>
    <m/>
    <m/>
    <m/>
    <m/>
    <m/>
    <m/>
    <m/>
    <m/>
    <m/>
    <m/>
    <m/>
    <m/>
    <n v="0"/>
  </r>
  <r>
    <x v="14"/>
    <x v="1"/>
    <m/>
    <m/>
    <m/>
    <m/>
    <m/>
    <m/>
    <m/>
    <m/>
    <m/>
    <m/>
    <m/>
    <m/>
    <m/>
    <m/>
    <m/>
    <m/>
    <m/>
    <m/>
    <m/>
    <m/>
    <m/>
    <m/>
    <n v="0"/>
  </r>
  <r>
    <x v="14"/>
    <x v="2"/>
    <m/>
    <m/>
    <m/>
    <m/>
    <m/>
    <m/>
    <m/>
    <m/>
    <m/>
    <m/>
    <m/>
    <m/>
    <m/>
    <m/>
    <m/>
    <m/>
    <m/>
    <m/>
    <m/>
    <m/>
    <m/>
    <m/>
    <n v="70"/>
  </r>
  <r>
    <x v="14"/>
    <x v="3"/>
    <m/>
    <m/>
    <m/>
    <m/>
    <m/>
    <m/>
    <m/>
    <m/>
    <m/>
    <m/>
    <m/>
    <m/>
    <m/>
    <m/>
    <m/>
    <m/>
    <m/>
    <m/>
    <m/>
    <m/>
    <m/>
    <m/>
    <n v="75.752727272727256"/>
  </r>
  <r>
    <x v="14"/>
    <x v="4"/>
    <m/>
    <m/>
    <m/>
    <m/>
    <m/>
    <m/>
    <m/>
    <m/>
    <m/>
    <m/>
    <m/>
    <m/>
    <m/>
    <m/>
    <m/>
    <m/>
    <m/>
    <m/>
    <m/>
    <m/>
    <m/>
    <m/>
    <n v="93.672727272727258"/>
  </r>
  <r>
    <x v="14"/>
    <x v="5"/>
    <m/>
    <m/>
    <m/>
    <m/>
    <m/>
    <m/>
    <m/>
    <m/>
    <m/>
    <m/>
    <m/>
    <m/>
    <m/>
    <m/>
    <m/>
    <m/>
    <m/>
    <m/>
    <m/>
    <m/>
    <m/>
    <m/>
    <n v="105.27999999999997"/>
  </r>
  <r>
    <x v="14"/>
    <x v="6"/>
    <m/>
    <m/>
    <m/>
    <m/>
    <m/>
    <m/>
    <m/>
    <m/>
    <m/>
    <m/>
    <m/>
    <m/>
    <m/>
    <m/>
    <m/>
    <m/>
    <m/>
    <m/>
    <m/>
    <m/>
    <m/>
    <m/>
    <n v="84.458181818181814"/>
  </r>
  <r>
    <x v="14"/>
    <x v="7"/>
    <m/>
    <m/>
    <m/>
    <m/>
    <m/>
    <m/>
    <m/>
    <m/>
    <m/>
    <m/>
    <m/>
    <m/>
    <m/>
    <m/>
    <m/>
    <m/>
    <m/>
    <m/>
    <m/>
    <m/>
    <m/>
    <m/>
    <n v="429.16363636363627"/>
  </r>
  <r>
    <x v="15"/>
    <x v="0"/>
    <m/>
    <m/>
    <m/>
    <m/>
    <m/>
    <m/>
    <m/>
    <m/>
    <m/>
    <m/>
    <m/>
    <m/>
    <m/>
    <m/>
    <m/>
    <m/>
    <m/>
    <m/>
    <m/>
    <m/>
    <m/>
    <m/>
    <n v="0"/>
  </r>
  <r>
    <x v="15"/>
    <x v="1"/>
    <m/>
    <m/>
    <m/>
    <m/>
    <m/>
    <m/>
    <m/>
    <m/>
    <m/>
    <m/>
    <m/>
    <m/>
    <m/>
    <m/>
    <m/>
    <m/>
    <m/>
    <m/>
    <m/>
    <m/>
    <m/>
    <m/>
    <n v="0"/>
  </r>
  <r>
    <x v="15"/>
    <x v="2"/>
    <m/>
    <m/>
    <m/>
    <m/>
    <m/>
    <m/>
    <m/>
    <m/>
    <m/>
    <m/>
    <m/>
    <m/>
    <m/>
    <m/>
    <m/>
    <m/>
    <m/>
    <m/>
    <m/>
    <m/>
    <m/>
    <m/>
    <n v="70"/>
  </r>
  <r>
    <x v="15"/>
    <x v="3"/>
    <m/>
    <m/>
    <m/>
    <m/>
    <m/>
    <m/>
    <m/>
    <m/>
    <m/>
    <m/>
    <m/>
    <m/>
    <m/>
    <m/>
    <m/>
    <m/>
    <m/>
    <m/>
    <m/>
    <m/>
    <m/>
    <m/>
    <n v="75.75272727272727"/>
  </r>
  <r>
    <x v="15"/>
    <x v="4"/>
    <m/>
    <m/>
    <m/>
    <m/>
    <m/>
    <m/>
    <m/>
    <m/>
    <m/>
    <m/>
    <m/>
    <m/>
    <m/>
    <m/>
    <m/>
    <m/>
    <m/>
    <m/>
    <m/>
    <m/>
    <m/>
    <m/>
    <n v="93.672727272727286"/>
  </r>
  <r>
    <x v="15"/>
    <x v="5"/>
    <m/>
    <m/>
    <m/>
    <m/>
    <m/>
    <m/>
    <m/>
    <m/>
    <m/>
    <m/>
    <m/>
    <m/>
    <m/>
    <m/>
    <m/>
    <m/>
    <m/>
    <m/>
    <m/>
    <m/>
    <m/>
    <m/>
    <n v="105.27999999999999"/>
  </r>
  <r>
    <x v="15"/>
    <x v="6"/>
    <m/>
    <m/>
    <m/>
    <m/>
    <m/>
    <m/>
    <m/>
    <m/>
    <m/>
    <m/>
    <m/>
    <m/>
    <m/>
    <m/>
    <m/>
    <m/>
    <m/>
    <m/>
    <m/>
    <m/>
    <m/>
    <m/>
    <n v="84.458181818181814"/>
  </r>
  <r>
    <x v="15"/>
    <x v="7"/>
    <m/>
    <m/>
    <m/>
    <m/>
    <m/>
    <m/>
    <m/>
    <m/>
    <m/>
    <m/>
    <m/>
    <m/>
    <m/>
    <m/>
    <m/>
    <m/>
    <m/>
    <m/>
    <m/>
    <m/>
    <m/>
    <m/>
    <n v="429.16363636363633"/>
  </r>
  <r>
    <x v="16"/>
    <x v="0"/>
    <m/>
    <m/>
    <m/>
    <m/>
    <m/>
    <m/>
    <m/>
    <m/>
    <m/>
    <m/>
    <m/>
    <m/>
    <m/>
    <m/>
    <m/>
    <m/>
    <m/>
    <m/>
    <m/>
    <m/>
    <m/>
    <m/>
    <n v="0"/>
  </r>
  <r>
    <x v="16"/>
    <x v="1"/>
    <m/>
    <m/>
    <m/>
    <m/>
    <m/>
    <m/>
    <m/>
    <m/>
    <m/>
    <m/>
    <m/>
    <m/>
    <m/>
    <m/>
    <m/>
    <m/>
    <m/>
    <m/>
    <m/>
    <m/>
    <m/>
    <m/>
    <n v="0"/>
  </r>
  <r>
    <x v="16"/>
    <x v="2"/>
    <m/>
    <m/>
    <m/>
    <m/>
    <m/>
    <m/>
    <m/>
    <m/>
    <m/>
    <m/>
    <m/>
    <m/>
    <m/>
    <m/>
    <m/>
    <m/>
    <m/>
    <m/>
    <m/>
    <m/>
    <m/>
    <m/>
    <n v="70"/>
  </r>
  <r>
    <x v="16"/>
    <x v="3"/>
    <m/>
    <m/>
    <m/>
    <m/>
    <m/>
    <m/>
    <m/>
    <m/>
    <m/>
    <m/>
    <m/>
    <m/>
    <m/>
    <m/>
    <m/>
    <m/>
    <m/>
    <m/>
    <m/>
    <m/>
    <m/>
    <m/>
    <n v="75.75272727272727"/>
  </r>
  <r>
    <x v="16"/>
    <x v="4"/>
    <m/>
    <m/>
    <m/>
    <m/>
    <m/>
    <m/>
    <m/>
    <m/>
    <m/>
    <m/>
    <m/>
    <m/>
    <m/>
    <m/>
    <m/>
    <m/>
    <m/>
    <m/>
    <m/>
    <m/>
    <m/>
    <m/>
    <n v="93.672727272727286"/>
  </r>
  <r>
    <x v="16"/>
    <x v="5"/>
    <m/>
    <m/>
    <m/>
    <m/>
    <m/>
    <m/>
    <m/>
    <m/>
    <m/>
    <m/>
    <m/>
    <m/>
    <m/>
    <m/>
    <m/>
    <m/>
    <m/>
    <m/>
    <m/>
    <m/>
    <m/>
    <m/>
    <n v="105.27999999999999"/>
  </r>
  <r>
    <x v="16"/>
    <x v="6"/>
    <m/>
    <m/>
    <m/>
    <m/>
    <m/>
    <m/>
    <m/>
    <m/>
    <m/>
    <m/>
    <m/>
    <m/>
    <m/>
    <m/>
    <m/>
    <m/>
    <m/>
    <m/>
    <m/>
    <m/>
    <m/>
    <m/>
    <n v="84.458181818181814"/>
  </r>
  <r>
    <x v="16"/>
    <x v="7"/>
    <m/>
    <m/>
    <m/>
    <m/>
    <m/>
    <m/>
    <m/>
    <m/>
    <m/>
    <m/>
    <m/>
    <m/>
    <m/>
    <m/>
    <m/>
    <m/>
    <m/>
    <m/>
    <m/>
    <m/>
    <m/>
    <m/>
    <n v="429.16363636363633"/>
  </r>
  <r>
    <x v="17"/>
    <x v="0"/>
    <m/>
    <m/>
    <m/>
    <m/>
    <m/>
    <m/>
    <m/>
    <m/>
    <m/>
    <m/>
    <m/>
    <m/>
    <m/>
    <m/>
    <m/>
    <m/>
    <m/>
    <m/>
    <m/>
    <m/>
    <m/>
    <m/>
    <n v="0"/>
  </r>
  <r>
    <x v="17"/>
    <x v="1"/>
    <m/>
    <m/>
    <m/>
    <m/>
    <m/>
    <m/>
    <m/>
    <m/>
    <m/>
    <m/>
    <m/>
    <m/>
    <m/>
    <m/>
    <m/>
    <m/>
    <m/>
    <m/>
    <m/>
    <m/>
    <m/>
    <m/>
    <n v="0"/>
  </r>
  <r>
    <x v="17"/>
    <x v="2"/>
    <m/>
    <m/>
    <m/>
    <m/>
    <m/>
    <m/>
    <m/>
    <m/>
    <m/>
    <m/>
    <m/>
    <m/>
    <m/>
    <m/>
    <m/>
    <m/>
    <m/>
    <m/>
    <m/>
    <m/>
    <m/>
    <m/>
    <n v="70"/>
  </r>
  <r>
    <x v="17"/>
    <x v="3"/>
    <m/>
    <m/>
    <m/>
    <m/>
    <m/>
    <m/>
    <m/>
    <m/>
    <m/>
    <m/>
    <m/>
    <m/>
    <m/>
    <m/>
    <m/>
    <m/>
    <m/>
    <m/>
    <m/>
    <m/>
    <m/>
    <m/>
    <n v="75.75272727272727"/>
  </r>
  <r>
    <x v="17"/>
    <x v="4"/>
    <m/>
    <m/>
    <m/>
    <m/>
    <m/>
    <m/>
    <m/>
    <m/>
    <m/>
    <m/>
    <m/>
    <m/>
    <m/>
    <m/>
    <m/>
    <m/>
    <m/>
    <m/>
    <m/>
    <m/>
    <m/>
    <m/>
    <n v="93.672727272727286"/>
  </r>
  <r>
    <x v="17"/>
    <x v="5"/>
    <m/>
    <m/>
    <m/>
    <m/>
    <m/>
    <m/>
    <m/>
    <m/>
    <m/>
    <m/>
    <m/>
    <m/>
    <m/>
    <m/>
    <m/>
    <m/>
    <m/>
    <m/>
    <m/>
    <m/>
    <m/>
    <m/>
    <n v="105.28"/>
  </r>
  <r>
    <x v="17"/>
    <x v="6"/>
    <m/>
    <m/>
    <m/>
    <m/>
    <m/>
    <m/>
    <m/>
    <m/>
    <m/>
    <m/>
    <m/>
    <m/>
    <m/>
    <m/>
    <m/>
    <m/>
    <m/>
    <m/>
    <m/>
    <m/>
    <m/>
    <m/>
    <n v="84.458181818181799"/>
  </r>
  <r>
    <x v="17"/>
    <x v="7"/>
    <m/>
    <m/>
    <m/>
    <m/>
    <m/>
    <m/>
    <m/>
    <m/>
    <m/>
    <m/>
    <m/>
    <m/>
    <m/>
    <m/>
    <m/>
    <m/>
    <m/>
    <m/>
    <m/>
    <m/>
    <m/>
    <m/>
    <n v="429.16363636363639"/>
  </r>
  <r>
    <x v="18"/>
    <x v="0"/>
    <m/>
    <m/>
    <m/>
    <m/>
    <m/>
    <m/>
    <m/>
    <m/>
    <m/>
    <m/>
    <m/>
    <m/>
    <m/>
    <m/>
    <m/>
    <m/>
    <m/>
    <m/>
    <m/>
    <m/>
    <m/>
    <m/>
    <n v="0"/>
  </r>
  <r>
    <x v="18"/>
    <x v="1"/>
    <m/>
    <m/>
    <m/>
    <m/>
    <m/>
    <m/>
    <m/>
    <m/>
    <m/>
    <m/>
    <m/>
    <m/>
    <m/>
    <m/>
    <m/>
    <m/>
    <m/>
    <m/>
    <m/>
    <m/>
    <m/>
    <m/>
    <n v="0"/>
  </r>
  <r>
    <x v="18"/>
    <x v="2"/>
    <m/>
    <m/>
    <m/>
    <m/>
    <m/>
    <m/>
    <m/>
    <m/>
    <m/>
    <m/>
    <m/>
    <m/>
    <m/>
    <m/>
    <m/>
    <m/>
    <m/>
    <m/>
    <m/>
    <m/>
    <m/>
    <m/>
    <n v="70"/>
  </r>
  <r>
    <x v="18"/>
    <x v="3"/>
    <m/>
    <m/>
    <m/>
    <m/>
    <m/>
    <m/>
    <m/>
    <m/>
    <m/>
    <m/>
    <m/>
    <m/>
    <m/>
    <m/>
    <m/>
    <m/>
    <m/>
    <m/>
    <m/>
    <m/>
    <m/>
    <m/>
    <n v="75.75272727272727"/>
  </r>
  <r>
    <x v="18"/>
    <x v="4"/>
    <m/>
    <m/>
    <m/>
    <m/>
    <m/>
    <m/>
    <m/>
    <m/>
    <m/>
    <m/>
    <m/>
    <m/>
    <m/>
    <m/>
    <m/>
    <m/>
    <m/>
    <m/>
    <m/>
    <m/>
    <m/>
    <m/>
    <n v="93.672727272727286"/>
  </r>
  <r>
    <x v="18"/>
    <x v="5"/>
    <m/>
    <m/>
    <m/>
    <m/>
    <m/>
    <m/>
    <m/>
    <m/>
    <m/>
    <m/>
    <m/>
    <m/>
    <m/>
    <m/>
    <m/>
    <m/>
    <m/>
    <m/>
    <m/>
    <m/>
    <m/>
    <m/>
    <n v="105.28"/>
  </r>
  <r>
    <x v="18"/>
    <x v="6"/>
    <m/>
    <m/>
    <m/>
    <m/>
    <m/>
    <m/>
    <m/>
    <m/>
    <m/>
    <m/>
    <m/>
    <m/>
    <m/>
    <m/>
    <m/>
    <m/>
    <m/>
    <m/>
    <m/>
    <m/>
    <m/>
    <m/>
    <n v="84.458181818181828"/>
  </r>
  <r>
    <x v="18"/>
    <x v="7"/>
    <m/>
    <m/>
    <m/>
    <m/>
    <m/>
    <m/>
    <m/>
    <m/>
    <m/>
    <m/>
    <m/>
    <m/>
    <m/>
    <m/>
    <m/>
    <m/>
    <m/>
    <m/>
    <m/>
    <m/>
    <m/>
    <m/>
    <n v="429.16363636363644"/>
  </r>
  <r>
    <x v="19"/>
    <x v="0"/>
    <m/>
    <m/>
    <m/>
    <m/>
    <m/>
    <m/>
    <m/>
    <m/>
    <m/>
    <m/>
    <m/>
    <m/>
    <m/>
    <m/>
    <m/>
    <m/>
    <m/>
    <m/>
    <m/>
    <m/>
    <m/>
    <m/>
    <n v="0"/>
  </r>
  <r>
    <x v="19"/>
    <x v="1"/>
    <m/>
    <m/>
    <m/>
    <m/>
    <m/>
    <m/>
    <m/>
    <m/>
    <m/>
    <m/>
    <m/>
    <m/>
    <m/>
    <m/>
    <m/>
    <m/>
    <m/>
    <m/>
    <m/>
    <m/>
    <m/>
    <m/>
    <n v="0"/>
  </r>
  <r>
    <x v="19"/>
    <x v="2"/>
    <m/>
    <m/>
    <m/>
    <m/>
    <m/>
    <m/>
    <m/>
    <m/>
    <m/>
    <m/>
    <m/>
    <m/>
    <m/>
    <m/>
    <m/>
    <m/>
    <m/>
    <m/>
    <m/>
    <m/>
    <m/>
    <m/>
    <n v="70"/>
  </r>
  <r>
    <x v="19"/>
    <x v="3"/>
    <m/>
    <m/>
    <m/>
    <m/>
    <m/>
    <m/>
    <m/>
    <m/>
    <m/>
    <m/>
    <m/>
    <m/>
    <m/>
    <m/>
    <m/>
    <m/>
    <m/>
    <m/>
    <m/>
    <m/>
    <m/>
    <m/>
    <n v="75.752727272727256"/>
  </r>
  <r>
    <x v="19"/>
    <x v="4"/>
    <m/>
    <m/>
    <m/>
    <m/>
    <m/>
    <m/>
    <m/>
    <m/>
    <m/>
    <m/>
    <m/>
    <m/>
    <m/>
    <m/>
    <m/>
    <m/>
    <m/>
    <m/>
    <m/>
    <m/>
    <m/>
    <m/>
    <n v="93.672727272727272"/>
  </r>
  <r>
    <x v="19"/>
    <x v="5"/>
    <m/>
    <m/>
    <m/>
    <m/>
    <m/>
    <m/>
    <m/>
    <m/>
    <m/>
    <m/>
    <m/>
    <m/>
    <m/>
    <m/>
    <m/>
    <m/>
    <m/>
    <m/>
    <m/>
    <m/>
    <m/>
    <m/>
    <n v="105.27999999999999"/>
  </r>
  <r>
    <x v="19"/>
    <x v="6"/>
    <m/>
    <m/>
    <m/>
    <m/>
    <m/>
    <m/>
    <m/>
    <m/>
    <m/>
    <m/>
    <m/>
    <m/>
    <m/>
    <m/>
    <m/>
    <m/>
    <m/>
    <m/>
    <m/>
    <m/>
    <m/>
    <m/>
    <n v="84.458181818181799"/>
  </r>
  <r>
    <x v="19"/>
    <x v="7"/>
    <m/>
    <m/>
    <m/>
    <m/>
    <m/>
    <m/>
    <m/>
    <m/>
    <m/>
    <m/>
    <m/>
    <m/>
    <m/>
    <m/>
    <m/>
    <m/>
    <m/>
    <m/>
    <m/>
    <m/>
    <m/>
    <m/>
    <n v="429.16363636363633"/>
  </r>
  <r>
    <x v="20"/>
    <x v="0"/>
    <m/>
    <m/>
    <m/>
    <m/>
    <m/>
    <m/>
    <m/>
    <m/>
    <m/>
    <m/>
    <m/>
    <m/>
    <m/>
    <m/>
    <m/>
    <m/>
    <m/>
    <m/>
    <m/>
    <m/>
    <m/>
    <m/>
    <n v="0"/>
  </r>
  <r>
    <x v="20"/>
    <x v="1"/>
    <m/>
    <m/>
    <m/>
    <m/>
    <m/>
    <m/>
    <m/>
    <m/>
    <m/>
    <m/>
    <m/>
    <m/>
    <m/>
    <m/>
    <m/>
    <m/>
    <m/>
    <m/>
    <m/>
    <m/>
    <m/>
    <m/>
    <n v="0"/>
  </r>
  <r>
    <x v="20"/>
    <x v="2"/>
    <m/>
    <m/>
    <m/>
    <m/>
    <m/>
    <m/>
    <m/>
    <m/>
    <m/>
    <m/>
    <m/>
    <m/>
    <m/>
    <m/>
    <m/>
    <m/>
    <m/>
    <m/>
    <m/>
    <m/>
    <m/>
    <m/>
    <n v="70"/>
  </r>
  <r>
    <x v="20"/>
    <x v="3"/>
    <m/>
    <m/>
    <m/>
    <m/>
    <m/>
    <m/>
    <m/>
    <m/>
    <m/>
    <m/>
    <m/>
    <m/>
    <m/>
    <m/>
    <m/>
    <m/>
    <m/>
    <m/>
    <m/>
    <m/>
    <m/>
    <m/>
    <n v="75.75272727272727"/>
  </r>
  <r>
    <x v="20"/>
    <x v="4"/>
    <m/>
    <m/>
    <m/>
    <m/>
    <m/>
    <m/>
    <m/>
    <m/>
    <m/>
    <m/>
    <m/>
    <m/>
    <m/>
    <m/>
    <m/>
    <m/>
    <m/>
    <m/>
    <m/>
    <m/>
    <m/>
    <m/>
    <n v="93.672727272727272"/>
  </r>
  <r>
    <x v="20"/>
    <x v="5"/>
    <m/>
    <m/>
    <m/>
    <m/>
    <m/>
    <m/>
    <m/>
    <m/>
    <m/>
    <m/>
    <m/>
    <m/>
    <m/>
    <m/>
    <m/>
    <m/>
    <m/>
    <m/>
    <m/>
    <m/>
    <m/>
    <m/>
    <n v="105.28000000000002"/>
  </r>
  <r>
    <x v="20"/>
    <x v="6"/>
    <m/>
    <m/>
    <m/>
    <m/>
    <m/>
    <m/>
    <m/>
    <m/>
    <m/>
    <m/>
    <m/>
    <m/>
    <m/>
    <m/>
    <m/>
    <m/>
    <m/>
    <m/>
    <m/>
    <m/>
    <m/>
    <m/>
    <n v="84.458181818181814"/>
  </r>
  <r>
    <x v="20"/>
    <x v="7"/>
    <m/>
    <m/>
    <m/>
    <m/>
    <m/>
    <m/>
    <m/>
    <m/>
    <m/>
    <m/>
    <m/>
    <m/>
    <m/>
    <m/>
    <m/>
    <m/>
    <m/>
    <m/>
    <m/>
    <m/>
    <m/>
    <m/>
    <n v="429.16363636363639"/>
  </r>
  <r>
    <x v="21"/>
    <x v="0"/>
    <m/>
    <m/>
    <m/>
    <m/>
    <m/>
    <m/>
    <m/>
    <m/>
    <m/>
    <m/>
    <m/>
    <m/>
    <m/>
    <m/>
    <m/>
    <m/>
    <m/>
    <m/>
    <m/>
    <m/>
    <m/>
    <m/>
    <n v="0"/>
  </r>
  <r>
    <x v="21"/>
    <x v="1"/>
    <m/>
    <m/>
    <m/>
    <m/>
    <m/>
    <m/>
    <m/>
    <m/>
    <m/>
    <m/>
    <m/>
    <m/>
    <m/>
    <m/>
    <m/>
    <m/>
    <m/>
    <m/>
    <m/>
    <m/>
    <m/>
    <m/>
    <n v="0"/>
  </r>
  <r>
    <x v="21"/>
    <x v="2"/>
    <m/>
    <m/>
    <m/>
    <m/>
    <m/>
    <m/>
    <m/>
    <m/>
    <m/>
    <m/>
    <m/>
    <m/>
    <m/>
    <m/>
    <m/>
    <m/>
    <m/>
    <m/>
    <m/>
    <m/>
    <m/>
    <m/>
    <n v="70"/>
  </r>
  <r>
    <x v="21"/>
    <x v="3"/>
    <m/>
    <m/>
    <m/>
    <m/>
    <m/>
    <m/>
    <m/>
    <m/>
    <m/>
    <m/>
    <m/>
    <m/>
    <m/>
    <m/>
    <m/>
    <m/>
    <m/>
    <m/>
    <m/>
    <m/>
    <m/>
    <m/>
    <n v="75.75272727272727"/>
  </r>
  <r>
    <x v="21"/>
    <x v="4"/>
    <m/>
    <m/>
    <m/>
    <m/>
    <m/>
    <m/>
    <m/>
    <m/>
    <m/>
    <m/>
    <m/>
    <m/>
    <m/>
    <m/>
    <m/>
    <m/>
    <m/>
    <m/>
    <m/>
    <m/>
    <m/>
    <m/>
    <n v="93.672727272727286"/>
  </r>
  <r>
    <x v="21"/>
    <x v="5"/>
    <m/>
    <m/>
    <m/>
    <m/>
    <m/>
    <m/>
    <m/>
    <m/>
    <m/>
    <m/>
    <m/>
    <m/>
    <m/>
    <m/>
    <m/>
    <m/>
    <m/>
    <m/>
    <m/>
    <m/>
    <m/>
    <m/>
    <n v="105.28"/>
  </r>
  <r>
    <x v="21"/>
    <x v="6"/>
    <m/>
    <m/>
    <m/>
    <m/>
    <m/>
    <m/>
    <m/>
    <m/>
    <m/>
    <m/>
    <m/>
    <m/>
    <m/>
    <m/>
    <m/>
    <m/>
    <m/>
    <m/>
    <m/>
    <m/>
    <m/>
    <m/>
    <n v="84.458181818181828"/>
  </r>
  <r>
    <x v="21"/>
    <x v="7"/>
    <m/>
    <m/>
    <m/>
    <m/>
    <m/>
    <m/>
    <m/>
    <m/>
    <m/>
    <m/>
    <m/>
    <m/>
    <m/>
    <m/>
    <m/>
    <m/>
    <m/>
    <m/>
    <m/>
    <m/>
    <m/>
    <m/>
    <n v="429.16363636363644"/>
  </r>
  <r>
    <x v="22"/>
    <x v="0"/>
    <m/>
    <m/>
    <m/>
    <m/>
    <m/>
    <m/>
    <m/>
    <m/>
    <m/>
    <m/>
    <m/>
    <m/>
    <m/>
    <m/>
    <m/>
    <m/>
    <m/>
    <m/>
    <m/>
    <m/>
    <m/>
    <m/>
    <n v="0"/>
  </r>
  <r>
    <x v="22"/>
    <x v="1"/>
    <m/>
    <m/>
    <m/>
    <m/>
    <m/>
    <m/>
    <m/>
    <m/>
    <m/>
    <m/>
    <m/>
    <m/>
    <m/>
    <m/>
    <m/>
    <m/>
    <m/>
    <m/>
    <m/>
    <m/>
    <m/>
    <m/>
    <n v="0"/>
  </r>
  <r>
    <x v="22"/>
    <x v="2"/>
    <m/>
    <m/>
    <m/>
    <m/>
    <m/>
    <m/>
    <m/>
    <m/>
    <m/>
    <m/>
    <m/>
    <m/>
    <m/>
    <m/>
    <m/>
    <m/>
    <m/>
    <m/>
    <m/>
    <m/>
    <m/>
    <m/>
    <n v="70"/>
  </r>
  <r>
    <x v="22"/>
    <x v="3"/>
    <m/>
    <m/>
    <m/>
    <m/>
    <m/>
    <m/>
    <m/>
    <m/>
    <m/>
    <m/>
    <m/>
    <m/>
    <m/>
    <m/>
    <m/>
    <m/>
    <m/>
    <m/>
    <m/>
    <m/>
    <m/>
    <m/>
    <n v="75.752727272727256"/>
  </r>
  <r>
    <x v="22"/>
    <x v="4"/>
    <m/>
    <m/>
    <m/>
    <m/>
    <m/>
    <m/>
    <m/>
    <m/>
    <m/>
    <m/>
    <m/>
    <m/>
    <m/>
    <m/>
    <m/>
    <m/>
    <m/>
    <m/>
    <m/>
    <m/>
    <m/>
    <m/>
    <n v="93.672727272727258"/>
  </r>
  <r>
    <x v="22"/>
    <x v="5"/>
    <m/>
    <m/>
    <m/>
    <m/>
    <m/>
    <m/>
    <m/>
    <m/>
    <m/>
    <m/>
    <m/>
    <m/>
    <m/>
    <m/>
    <m/>
    <m/>
    <m/>
    <m/>
    <m/>
    <m/>
    <m/>
    <m/>
    <n v="105.27999999999999"/>
  </r>
  <r>
    <x v="22"/>
    <x v="6"/>
    <m/>
    <m/>
    <m/>
    <m/>
    <m/>
    <m/>
    <m/>
    <m/>
    <m/>
    <m/>
    <m/>
    <m/>
    <m/>
    <m/>
    <m/>
    <m/>
    <m/>
    <m/>
    <m/>
    <m/>
    <m/>
    <m/>
    <n v="84.458181818181799"/>
  </r>
  <r>
    <x v="22"/>
    <x v="7"/>
    <m/>
    <m/>
    <m/>
    <m/>
    <m/>
    <m/>
    <m/>
    <m/>
    <m/>
    <m/>
    <m/>
    <m/>
    <m/>
    <m/>
    <m/>
    <m/>
    <m/>
    <m/>
    <m/>
    <m/>
    <m/>
    <m/>
    <n v="429.16363636363633"/>
  </r>
  <r>
    <x v="23"/>
    <x v="0"/>
    <m/>
    <m/>
    <m/>
    <m/>
    <m/>
    <m/>
    <m/>
    <m/>
    <m/>
    <m/>
    <m/>
    <m/>
    <m/>
    <m/>
    <m/>
    <m/>
    <m/>
    <m/>
    <m/>
    <m/>
    <m/>
    <m/>
    <n v="0"/>
  </r>
  <r>
    <x v="23"/>
    <x v="1"/>
    <m/>
    <m/>
    <m/>
    <m/>
    <m/>
    <m/>
    <m/>
    <m/>
    <m/>
    <m/>
    <m/>
    <m/>
    <m/>
    <m/>
    <m/>
    <m/>
    <m/>
    <m/>
    <m/>
    <m/>
    <m/>
    <m/>
    <n v="0"/>
  </r>
  <r>
    <x v="23"/>
    <x v="2"/>
    <m/>
    <m/>
    <m/>
    <m/>
    <m/>
    <m/>
    <m/>
    <m/>
    <m/>
    <m/>
    <m/>
    <m/>
    <m/>
    <m/>
    <m/>
    <m/>
    <m/>
    <m/>
    <m/>
    <m/>
    <m/>
    <m/>
    <n v="70"/>
  </r>
  <r>
    <x v="23"/>
    <x v="3"/>
    <m/>
    <m/>
    <m/>
    <m/>
    <m/>
    <m/>
    <m/>
    <m/>
    <m/>
    <m/>
    <m/>
    <m/>
    <m/>
    <m/>
    <m/>
    <m/>
    <m/>
    <m/>
    <m/>
    <m/>
    <m/>
    <m/>
    <n v="75.75272727272727"/>
  </r>
  <r>
    <x v="23"/>
    <x v="4"/>
    <m/>
    <m/>
    <m/>
    <m/>
    <m/>
    <m/>
    <m/>
    <m/>
    <m/>
    <m/>
    <m/>
    <m/>
    <m/>
    <m/>
    <m/>
    <m/>
    <m/>
    <m/>
    <m/>
    <m/>
    <m/>
    <m/>
    <n v="93.672727272727272"/>
  </r>
  <r>
    <x v="23"/>
    <x v="5"/>
    <m/>
    <m/>
    <m/>
    <m/>
    <m/>
    <m/>
    <m/>
    <m/>
    <m/>
    <m/>
    <m/>
    <m/>
    <m/>
    <m/>
    <m/>
    <m/>
    <m/>
    <m/>
    <m/>
    <m/>
    <m/>
    <m/>
    <n v="105.28"/>
  </r>
  <r>
    <x v="23"/>
    <x v="6"/>
    <m/>
    <m/>
    <m/>
    <m/>
    <m/>
    <m/>
    <m/>
    <m/>
    <m/>
    <m/>
    <m/>
    <m/>
    <m/>
    <m/>
    <m/>
    <m/>
    <m/>
    <m/>
    <m/>
    <m/>
    <m/>
    <m/>
    <n v="84.458181818181828"/>
  </r>
  <r>
    <x v="23"/>
    <x v="7"/>
    <m/>
    <m/>
    <m/>
    <m/>
    <m/>
    <m/>
    <m/>
    <m/>
    <m/>
    <m/>
    <m/>
    <m/>
    <m/>
    <m/>
    <m/>
    <m/>
    <m/>
    <m/>
    <m/>
    <m/>
    <m/>
    <m/>
    <n v="429.16363636363644"/>
  </r>
  <r>
    <x v="24"/>
    <x v="0"/>
    <m/>
    <m/>
    <m/>
    <m/>
    <m/>
    <m/>
    <m/>
    <m/>
    <m/>
    <m/>
    <m/>
    <m/>
    <m/>
    <m/>
    <m/>
    <m/>
    <m/>
    <m/>
    <m/>
    <m/>
    <m/>
    <m/>
    <n v="0"/>
  </r>
  <r>
    <x v="24"/>
    <x v="1"/>
    <m/>
    <m/>
    <m/>
    <m/>
    <m/>
    <m/>
    <m/>
    <m/>
    <m/>
    <m/>
    <m/>
    <m/>
    <m/>
    <m/>
    <m/>
    <m/>
    <m/>
    <m/>
    <m/>
    <m/>
    <m/>
    <m/>
    <n v="0"/>
  </r>
  <r>
    <x v="24"/>
    <x v="2"/>
    <m/>
    <m/>
    <m/>
    <m/>
    <m/>
    <m/>
    <m/>
    <m/>
    <m/>
    <m/>
    <m/>
    <m/>
    <m/>
    <m/>
    <m/>
    <m/>
    <m/>
    <m/>
    <m/>
    <m/>
    <m/>
    <m/>
    <n v="70"/>
  </r>
  <r>
    <x v="24"/>
    <x v="3"/>
    <m/>
    <m/>
    <m/>
    <m/>
    <m/>
    <m/>
    <m/>
    <m/>
    <m/>
    <m/>
    <m/>
    <m/>
    <m/>
    <m/>
    <m/>
    <m/>
    <m/>
    <m/>
    <m/>
    <m/>
    <m/>
    <m/>
    <n v="75.752727272727256"/>
  </r>
  <r>
    <x v="24"/>
    <x v="4"/>
    <m/>
    <m/>
    <m/>
    <m/>
    <m/>
    <m/>
    <m/>
    <m/>
    <m/>
    <m/>
    <m/>
    <m/>
    <m/>
    <m/>
    <m/>
    <m/>
    <m/>
    <m/>
    <m/>
    <m/>
    <m/>
    <m/>
    <n v="93.672727272727272"/>
  </r>
  <r>
    <x v="24"/>
    <x v="5"/>
    <m/>
    <m/>
    <m/>
    <m/>
    <m/>
    <m/>
    <m/>
    <m/>
    <m/>
    <m/>
    <m/>
    <m/>
    <m/>
    <m/>
    <m/>
    <m/>
    <m/>
    <m/>
    <m/>
    <m/>
    <m/>
    <m/>
    <n v="105.28"/>
  </r>
  <r>
    <x v="24"/>
    <x v="6"/>
    <m/>
    <m/>
    <m/>
    <m/>
    <m/>
    <m/>
    <m/>
    <m/>
    <m/>
    <m/>
    <m/>
    <m/>
    <m/>
    <m/>
    <m/>
    <m/>
    <m/>
    <m/>
    <m/>
    <m/>
    <m/>
    <m/>
    <n v="84.458181818181814"/>
  </r>
  <r>
    <x v="24"/>
    <x v="7"/>
    <m/>
    <m/>
    <m/>
    <m/>
    <m/>
    <m/>
    <m/>
    <m/>
    <m/>
    <m/>
    <m/>
    <m/>
    <m/>
    <m/>
    <m/>
    <m/>
    <m/>
    <m/>
    <m/>
    <m/>
    <m/>
    <m/>
    <n v="429.16363636363639"/>
  </r>
  <r>
    <x v="25"/>
    <x v="0"/>
    <m/>
    <m/>
    <m/>
    <m/>
    <m/>
    <m/>
    <m/>
    <m/>
    <m/>
    <m/>
    <m/>
    <m/>
    <m/>
    <m/>
    <m/>
    <m/>
    <m/>
    <m/>
    <m/>
    <m/>
    <m/>
    <m/>
    <n v="0"/>
  </r>
  <r>
    <x v="25"/>
    <x v="1"/>
    <m/>
    <m/>
    <m/>
    <m/>
    <m/>
    <m/>
    <m/>
    <m/>
    <m/>
    <m/>
    <m/>
    <m/>
    <m/>
    <m/>
    <m/>
    <m/>
    <m/>
    <m/>
    <m/>
    <m/>
    <m/>
    <m/>
    <n v="0"/>
  </r>
  <r>
    <x v="25"/>
    <x v="2"/>
    <m/>
    <m/>
    <m/>
    <m/>
    <m/>
    <m/>
    <m/>
    <m/>
    <m/>
    <m/>
    <m/>
    <m/>
    <m/>
    <m/>
    <m/>
    <m/>
    <m/>
    <m/>
    <m/>
    <m/>
    <m/>
    <m/>
    <n v="70"/>
  </r>
  <r>
    <x v="25"/>
    <x v="3"/>
    <m/>
    <m/>
    <m/>
    <m/>
    <m/>
    <m/>
    <m/>
    <m/>
    <m/>
    <m/>
    <m/>
    <m/>
    <m/>
    <m/>
    <m/>
    <m/>
    <m/>
    <m/>
    <m/>
    <m/>
    <m/>
    <m/>
    <n v="75.75272727272727"/>
  </r>
  <r>
    <x v="25"/>
    <x v="4"/>
    <m/>
    <m/>
    <m/>
    <m/>
    <m/>
    <m/>
    <m/>
    <m/>
    <m/>
    <m/>
    <m/>
    <m/>
    <m/>
    <m/>
    <m/>
    <m/>
    <m/>
    <m/>
    <m/>
    <m/>
    <m/>
    <m/>
    <n v="93.672727272727272"/>
  </r>
  <r>
    <x v="25"/>
    <x v="5"/>
    <m/>
    <m/>
    <m/>
    <m/>
    <m/>
    <m/>
    <m/>
    <m/>
    <m/>
    <m/>
    <m/>
    <m/>
    <m/>
    <m/>
    <m/>
    <m/>
    <m/>
    <m/>
    <m/>
    <m/>
    <m/>
    <m/>
    <n v="105.27999999999999"/>
  </r>
  <r>
    <x v="25"/>
    <x v="6"/>
    <m/>
    <m/>
    <m/>
    <m/>
    <m/>
    <m/>
    <m/>
    <m/>
    <m/>
    <m/>
    <m/>
    <m/>
    <m/>
    <m/>
    <m/>
    <m/>
    <m/>
    <m/>
    <m/>
    <m/>
    <m/>
    <m/>
    <n v="84.458181818181814"/>
  </r>
  <r>
    <x v="25"/>
    <x v="7"/>
    <m/>
    <m/>
    <m/>
    <m/>
    <m/>
    <m/>
    <m/>
    <m/>
    <m/>
    <m/>
    <m/>
    <m/>
    <m/>
    <m/>
    <m/>
    <m/>
    <m/>
    <m/>
    <m/>
    <m/>
    <m/>
    <m/>
    <n v="429.16363636363633"/>
  </r>
  <r>
    <x v="26"/>
    <x v="0"/>
    <m/>
    <m/>
    <m/>
    <m/>
    <m/>
    <m/>
    <m/>
    <m/>
    <m/>
    <m/>
    <m/>
    <m/>
    <m/>
    <m/>
    <m/>
    <m/>
    <m/>
    <m/>
    <m/>
    <m/>
    <m/>
    <m/>
    <n v="0"/>
  </r>
  <r>
    <x v="26"/>
    <x v="1"/>
    <m/>
    <m/>
    <m/>
    <m/>
    <m/>
    <m/>
    <m/>
    <m/>
    <m/>
    <m/>
    <m/>
    <m/>
    <m/>
    <m/>
    <m/>
    <m/>
    <m/>
    <m/>
    <m/>
    <m/>
    <m/>
    <m/>
    <n v="0"/>
  </r>
  <r>
    <x v="26"/>
    <x v="2"/>
    <m/>
    <m/>
    <m/>
    <m/>
    <m/>
    <m/>
    <m/>
    <m/>
    <m/>
    <m/>
    <m/>
    <m/>
    <m/>
    <m/>
    <m/>
    <m/>
    <m/>
    <m/>
    <m/>
    <m/>
    <m/>
    <m/>
    <n v="70"/>
  </r>
  <r>
    <x v="26"/>
    <x v="3"/>
    <m/>
    <m/>
    <m/>
    <m/>
    <m/>
    <m/>
    <m/>
    <m/>
    <m/>
    <m/>
    <m/>
    <m/>
    <m/>
    <m/>
    <m/>
    <m/>
    <m/>
    <m/>
    <m/>
    <m/>
    <m/>
    <m/>
    <n v="75.75272727272727"/>
  </r>
  <r>
    <x v="26"/>
    <x v="4"/>
    <m/>
    <m/>
    <m/>
    <m/>
    <m/>
    <m/>
    <m/>
    <m/>
    <m/>
    <m/>
    <m/>
    <m/>
    <m/>
    <m/>
    <m/>
    <m/>
    <m/>
    <m/>
    <m/>
    <m/>
    <m/>
    <m/>
    <n v="93.672727272727286"/>
  </r>
  <r>
    <x v="26"/>
    <x v="5"/>
    <m/>
    <m/>
    <m/>
    <m/>
    <m/>
    <m/>
    <m/>
    <m/>
    <m/>
    <m/>
    <m/>
    <m/>
    <m/>
    <m/>
    <m/>
    <m/>
    <m/>
    <m/>
    <m/>
    <m/>
    <m/>
    <m/>
    <n v="105.28"/>
  </r>
  <r>
    <x v="26"/>
    <x v="6"/>
    <m/>
    <m/>
    <m/>
    <m/>
    <m/>
    <m/>
    <m/>
    <m/>
    <m/>
    <m/>
    <m/>
    <m/>
    <m/>
    <m/>
    <m/>
    <m/>
    <m/>
    <m/>
    <m/>
    <m/>
    <m/>
    <m/>
    <n v="84.458181818181814"/>
  </r>
  <r>
    <x v="26"/>
    <x v="7"/>
    <m/>
    <m/>
    <m/>
    <m/>
    <m/>
    <m/>
    <m/>
    <m/>
    <m/>
    <m/>
    <m/>
    <m/>
    <m/>
    <m/>
    <m/>
    <m/>
    <m/>
    <m/>
    <m/>
    <m/>
    <m/>
    <m/>
    <n v="429.16363636363639"/>
  </r>
  <r>
    <x v="27"/>
    <x v="0"/>
    <m/>
    <m/>
    <m/>
    <m/>
    <m/>
    <m/>
    <m/>
    <m/>
    <m/>
    <m/>
    <m/>
    <m/>
    <m/>
    <m/>
    <m/>
    <m/>
    <m/>
    <m/>
    <m/>
    <m/>
    <m/>
    <m/>
    <n v="0"/>
  </r>
  <r>
    <x v="27"/>
    <x v="1"/>
    <m/>
    <m/>
    <m/>
    <m/>
    <m/>
    <m/>
    <m/>
    <m/>
    <m/>
    <m/>
    <m/>
    <m/>
    <m/>
    <m/>
    <m/>
    <m/>
    <m/>
    <m/>
    <m/>
    <m/>
    <m/>
    <m/>
    <n v="0"/>
  </r>
  <r>
    <x v="27"/>
    <x v="2"/>
    <m/>
    <m/>
    <m/>
    <m/>
    <m/>
    <m/>
    <m/>
    <m/>
    <m/>
    <m/>
    <m/>
    <m/>
    <m/>
    <m/>
    <m/>
    <m/>
    <m/>
    <m/>
    <m/>
    <m/>
    <m/>
    <m/>
    <n v="70"/>
  </r>
  <r>
    <x v="27"/>
    <x v="3"/>
    <m/>
    <m/>
    <m/>
    <m/>
    <m/>
    <m/>
    <m/>
    <m/>
    <m/>
    <m/>
    <m/>
    <m/>
    <m/>
    <m/>
    <m/>
    <m/>
    <m/>
    <m/>
    <m/>
    <m/>
    <m/>
    <m/>
    <n v="75.752727272727256"/>
  </r>
  <r>
    <x v="27"/>
    <x v="4"/>
    <m/>
    <m/>
    <m/>
    <m/>
    <m/>
    <m/>
    <m/>
    <m/>
    <m/>
    <m/>
    <m/>
    <m/>
    <m/>
    <m/>
    <m/>
    <m/>
    <m/>
    <m/>
    <m/>
    <m/>
    <m/>
    <m/>
    <n v="93.672727272727258"/>
  </r>
  <r>
    <x v="27"/>
    <x v="5"/>
    <m/>
    <m/>
    <m/>
    <m/>
    <m/>
    <m/>
    <m/>
    <m/>
    <m/>
    <m/>
    <m/>
    <m/>
    <m/>
    <m/>
    <m/>
    <m/>
    <m/>
    <m/>
    <m/>
    <m/>
    <m/>
    <m/>
    <n v="105.27999999999997"/>
  </r>
  <r>
    <x v="27"/>
    <x v="6"/>
    <m/>
    <m/>
    <m/>
    <m/>
    <m/>
    <m/>
    <m/>
    <m/>
    <m/>
    <m/>
    <m/>
    <m/>
    <m/>
    <m/>
    <m/>
    <m/>
    <m/>
    <m/>
    <m/>
    <m/>
    <m/>
    <m/>
    <n v="84.458181818181814"/>
  </r>
  <r>
    <x v="27"/>
    <x v="7"/>
    <m/>
    <m/>
    <m/>
    <m/>
    <m/>
    <m/>
    <m/>
    <m/>
    <m/>
    <m/>
    <m/>
    <m/>
    <m/>
    <m/>
    <m/>
    <m/>
    <m/>
    <m/>
    <m/>
    <m/>
    <m/>
    <m/>
    <n v="429.1636363636362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CB044D4-B8F0-4791-87A7-12078484D7F7}" name="PivotTable1" cacheId="0"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4" rowHeaderCaption="">
  <location ref="A65:E92" firstHeaderRow="0" firstDataRow="1" firstDataCol="1" rowPageCount="1" colPageCount="1"/>
  <pivotFields count="25">
    <pivotField axis="axisRow" showAll="0">
      <items count="29">
        <item x="0"/>
        <item x="1"/>
        <item x="2"/>
        <item x="3"/>
        <item x="4"/>
        <item x="5"/>
        <item x="6"/>
        <item x="7"/>
        <item h="1" x="27"/>
        <item x="8"/>
        <item x="9"/>
        <item x="10"/>
        <item x="11"/>
        <item x="12"/>
        <item x="13"/>
        <item x="14"/>
        <item x="15"/>
        <item x="16"/>
        <item x="17"/>
        <item x="18"/>
        <item x="19"/>
        <item x="20"/>
        <item x="21"/>
        <item x="22"/>
        <item x="23"/>
        <item x="24"/>
        <item x="25"/>
        <item x="26"/>
        <item t="default"/>
      </items>
    </pivotField>
    <pivotField axis="axisPage" multipleItemSelectionAllowed="1" showAll="0">
      <items count="20">
        <item h="1" m="1" x="12"/>
        <item h="1" m="1" x="13"/>
        <item h="1" m="1" x="14"/>
        <item h="1" m="1" x="15"/>
        <item h="1" m="1" x="16"/>
        <item h="1" m="1" x="17"/>
        <item h="1" m="1" x="18"/>
        <item h="1" x="0"/>
        <item h="1" x="7"/>
        <item x="1"/>
        <item h="1" x="8"/>
        <item h="1" x="2"/>
        <item h="1" x="3"/>
        <item h="1" x="4"/>
        <item h="1" x="5"/>
        <item h="1" x="6"/>
        <item h="1" x="9"/>
        <item h="1" x="10"/>
        <item h="1" x="11"/>
        <item t="default"/>
      </items>
    </pivotField>
    <pivotField dataField="1" showAll="0"/>
    <pivotField showAll="0"/>
    <pivotField dataField="1" showAll="0"/>
    <pivotField showAll="0"/>
    <pivotField dataField="1"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s>
  <rowFields count="1">
    <field x="0"/>
  </rowFields>
  <rowItems count="27">
    <i>
      <x/>
    </i>
    <i>
      <x v="1"/>
    </i>
    <i>
      <x v="2"/>
    </i>
    <i>
      <x v="3"/>
    </i>
    <i>
      <x v="4"/>
    </i>
    <i>
      <x v="5"/>
    </i>
    <i>
      <x v="6"/>
    </i>
    <i>
      <x v="7"/>
    </i>
    <i>
      <x v="9"/>
    </i>
    <i>
      <x v="10"/>
    </i>
    <i>
      <x v="11"/>
    </i>
    <i>
      <x v="12"/>
    </i>
    <i>
      <x v="13"/>
    </i>
    <i>
      <x v="14"/>
    </i>
    <i>
      <x v="15"/>
    </i>
    <i>
      <x v="16"/>
    </i>
    <i>
      <x v="17"/>
    </i>
    <i>
      <x v="18"/>
    </i>
    <i>
      <x v="19"/>
    </i>
    <i>
      <x v="20"/>
    </i>
    <i>
      <x v="21"/>
    </i>
    <i>
      <x v="22"/>
    </i>
    <i>
      <x v="23"/>
    </i>
    <i>
      <x v="24"/>
    </i>
    <i>
      <x v="25"/>
    </i>
    <i>
      <x v="26"/>
    </i>
    <i>
      <x v="27"/>
    </i>
  </rowItems>
  <colFields count="1">
    <field x="-2"/>
  </colFields>
  <colItems count="4">
    <i>
      <x/>
    </i>
    <i i="1">
      <x v="1"/>
    </i>
    <i i="2">
      <x v="2"/>
    </i>
    <i i="3">
      <x v="3"/>
    </i>
  </colItems>
  <pageFields count="1">
    <pageField fld="1" hier="-1"/>
  </pageFields>
  <dataFields count="4">
    <dataField name="SCF" fld="2" baseField="0" baseItem="0"/>
    <dataField name="Own contribution to SCF" fld="4" baseField="0" baseItem="0"/>
    <dataField name="Rest of ETS2" fld="6" baseField="0" baseItem="0"/>
    <dataField name="Optional frontloading" fld="14" baseField="0" baseItem="0"/>
  </dataFields>
  <formats count="1">
    <format dxfId="3">
      <pivotArea field="0" type="button" dataOnly="0" labelOnly="1" outline="0" axis="axisRow"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4EA8EE3-235C-4C20-A5F5-D7D9D5C8D737}" name="PivotTable3" cacheId="0" applyNumberFormats="0" applyBorderFormats="0" applyFontFormats="0" applyPatternFormats="0" applyAlignmentFormats="0" applyWidthHeightFormats="1" dataCaption="Values" grandTotalCaption=" Total" updatedVersion="8" minRefreshableVersion="3" useAutoFormatting="1" rowGrandTotals="0" itemPrintTitles="1" createdVersion="8" indent="0" outline="1" outlineData="1" multipleFieldFilters="0" chartFormat="5" rowHeaderCaption="Redistribution (all revenues)">
  <location ref="A41:C48" firstHeaderRow="0" firstDataRow="1" firstDataCol="1" rowPageCount="1" colPageCount="1"/>
  <pivotFields count="25">
    <pivotField axis="axisPage" showAll="0">
      <items count="29">
        <item x="0"/>
        <item x="1"/>
        <item x="2"/>
        <item x="3"/>
        <item x="4"/>
        <item x="5"/>
        <item x="6"/>
        <item x="7"/>
        <item x="27"/>
        <item x="8"/>
        <item x="9"/>
        <item x="10"/>
        <item x="11"/>
        <item x="12"/>
        <item x="13"/>
        <item x="14"/>
        <item x="15"/>
        <item x="16"/>
        <item x="17"/>
        <item x="18"/>
        <item x="19"/>
        <item x="20"/>
        <item x="21"/>
        <item x="22"/>
        <item x="23"/>
        <item x="24"/>
        <item x="25"/>
        <item x="26"/>
        <item t="default"/>
      </items>
    </pivotField>
    <pivotField axis="axisRow" showAll="0">
      <items count="20">
        <item x="0"/>
        <item h="1" x="7"/>
        <item x="1"/>
        <item h="1" x="8"/>
        <item x="2"/>
        <item x="3"/>
        <item x="4"/>
        <item x="5"/>
        <item x="6"/>
        <item h="1" m="1" x="12"/>
        <item h="1" m="1" x="13"/>
        <item h="1" m="1" x="14"/>
        <item h="1" m="1" x="15"/>
        <item h="1" m="1" x="16"/>
        <item h="1" m="1" x="17"/>
        <item h="1" m="1" x="18"/>
        <item h="1" x="9"/>
        <item h="1" x="10"/>
        <item h="1" x="1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s>
  <rowFields count="1">
    <field x="1"/>
  </rowFields>
  <rowItems count="7">
    <i>
      <x/>
    </i>
    <i>
      <x v="2"/>
    </i>
    <i>
      <x v="4"/>
    </i>
    <i>
      <x v="5"/>
    </i>
    <i>
      <x v="6"/>
    </i>
    <i>
      <x v="7"/>
    </i>
    <i>
      <x v="8"/>
    </i>
  </rowItems>
  <colFields count="1">
    <field x="-2"/>
  </colFields>
  <colItems count="2">
    <i>
      <x/>
    </i>
    <i i="1">
      <x v="1"/>
    </i>
  </colItems>
  <pageFields count="1">
    <pageField fld="0" item="0" hier="-1"/>
  </pageFields>
  <dataFields count="2">
    <dataField name="Only to lower income population" fld="17" baseField="1" baseItem="0"/>
    <dataField name="Only to population at risk of poverty" fld="18"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B1A7D82-E10D-4904-9F2A-4B6E33F1B85C}" name="PivotTable4" cacheId="0" applyNumberFormats="0" applyBorderFormats="0" applyFontFormats="0" applyPatternFormats="0" applyAlignmentFormats="0" applyWidthHeightFormats="1" dataCaption="Values" grandTotalCaption=" Total" updatedVersion="8" minRefreshableVersion="3" useAutoFormatting="1" rowGrandTotals="0" itemPrintTitles="1" createdVersion="8" indent="0" outline="1" outlineData="1" multipleFieldFilters="0" chartFormat="193" rowHeaderCaption="">
  <location ref="A53:F60" firstHeaderRow="0" firstDataRow="1" firstDataCol="1" rowPageCount="1" colPageCount="1"/>
  <pivotFields count="25">
    <pivotField axis="axisPage" multipleItemSelectionAllowed="1" showAll="0">
      <items count="29">
        <item x="0"/>
        <item h="1" x="1"/>
        <item h="1" x="2"/>
        <item h="1" x="3"/>
        <item h="1" x="4"/>
        <item h="1" x="5"/>
        <item h="1" x="6"/>
        <item h="1" x="7"/>
        <item h="1" x="27"/>
        <item h="1" x="8"/>
        <item h="1" x="9"/>
        <item h="1" x="10"/>
        <item h="1" x="11"/>
        <item h="1" x="12"/>
        <item h="1" x="13"/>
        <item h="1" x="14"/>
        <item h="1" x="15"/>
        <item h="1" x="16"/>
        <item h="1" x="17"/>
        <item h="1" x="18"/>
        <item h="1" x="19"/>
        <item h="1" x="20"/>
        <item h="1" x="21"/>
        <item h="1" x="22"/>
        <item h="1" x="23"/>
        <item h="1" x="24"/>
        <item h="1" x="25"/>
        <item h="1" x="26"/>
        <item t="default"/>
      </items>
    </pivotField>
    <pivotField axis="axisRow" showAll="0">
      <items count="20">
        <item x="0"/>
        <item h="1" x="7"/>
        <item x="1"/>
        <item h="1" x="8"/>
        <item x="2"/>
        <item x="3"/>
        <item x="4"/>
        <item x="5"/>
        <item x="6"/>
        <item h="1" m="1" x="12"/>
        <item h="1" m="1" x="13"/>
        <item h="1" m="1" x="14"/>
        <item h="1" m="1" x="15"/>
        <item h="1" m="1" x="16"/>
        <item h="1" m="1" x="17"/>
        <item h="1" m="1" x="18"/>
        <item h="1" x="9"/>
        <item h="1" x="10"/>
        <item h="1" x="11"/>
        <item t="default"/>
      </items>
    </pivotField>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ame="Direct Income Support2" dataField="1" showAll="0"/>
    <pivotField dataField="1" showAll="0"/>
    <pivotField dataField="1" showAll="0"/>
    <pivotField dataField="1" showAll="0"/>
    <pivotField showAll="0"/>
  </pivotFields>
  <rowFields count="1">
    <field x="1"/>
  </rowFields>
  <rowItems count="7">
    <i>
      <x/>
    </i>
    <i>
      <x v="2"/>
    </i>
    <i>
      <x v="4"/>
    </i>
    <i>
      <x v="5"/>
    </i>
    <i>
      <x v="6"/>
    </i>
    <i>
      <x v="7"/>
    </i>
    <i>
      <x v="8"/>
    </i>
  </rowItems>
  <colFields count="1">
    <field x="-2"/>
  </colFields>
  <colItems count="5">
    <i>
      <x/>
    </i>
    <i i="1">
      <x v="1"/>
    </i>
    <i i="2">
      <x v="2"/>
    </i>
    <i i="3">
      <x v="3"/>
    </i>
    <i i="4">
      <x v="4"/>
    </i>
  </colItems>
  <pageFields count="1">
    <pageField fld="0" hier="-1"/>
  </pageFields>
  <dataFields count="5">
    <dataField name="All ETS2 revenue" fld="23" baseField="1" baseItem="0"/>
    <dataField name="SCF + own contribution" fld="5" baseField="1" baseItem="0"/>
    <dataField name="Social leasing EV" fld="21" baseField="1" baseItem="0"/>
    <dataField name="Social financing HP" fld="22" baseField="1" baseItem="0"/>
    <dataField name="Income support" fld="20" baseField="1" baseItem="0"/>
  </dataFields>
  <chartFormats count="17">
    <chartFormat chart="2" format="5" series="1">
      <pivotArea type="data" outline="0" fieldPosition="0">
        <references count="1">
          <reference field="4294967294" count="1" selected="0">
            <x v="2"/>
          </reference>
        </references>
      </pivotArea>
    </chartFormat>
    <chartFormat chart="3" format="8" series="1">
      <pivotArea type="data" outline="0" fieldPosition="0">
        <references count="1">
          <reference field="4294967294" count="1" selected="0">
            <x v="2"/>
          </reference>
        </references>
      </pivotArea>
    </chartFormat>
    <chartFormat chart="4" format="28" series="1">
      <pivotArea type="data" outline="0" fieldPosition="0">
        <references count="1">
          <reference field="4294967294" count="1" selected="0">
            <x v="2"/>
          </reference>
        </references>
      </pivotArea>
    </chartFormat>
    <chartFormat chart="4" format="29" series="1">
      <pivotArea type="data" outline="0" fieldPosition="0">
        <references count="1">
          <reference field="4294967294" count="1" selected="0">
            <x v="3"/>
          </reference>
        </references>
      </pivotArea>
    </chartFormat>
    <chartFormat chart="4" format="30" series="1">
      <pivotArea type="data" outline="0" fieldPosition="0">
        <references count="1">
          <reference field="4294967294" count="1" selected="0">
            <x v="4"/>
          </reference>
        </references>
      </pivotArea>
    </chartFormat>
    <chartFormat chart="4" format="31" series="1">
      <pivotArea type="data" outline="0" fieldPosition="0">
        <references count="1">
          <reference field="4294967294" count="1" selected="0">
            <x v="1"/>
          </reference>
        </references>
      </pivotArea>
    </chartFormat>
    <chartFormat chart="4" format="32" series="1">
      <pivotArea type="data" outline="0" fieldPosition="0">
        <references count="1">
          <reference field="4294967294" count="1" selected="0">
            <x v="0"/>
          </reference>
        </references>
      </pivotArea>
    </chartFormat>
    <chartFormat chart="189" format="33" series="1">
      <pivotArea type="data" outline="0" fieldPosition="0">
        <references count="1">
          <reference field="4294967294" count="1" selected="0">
            <x v="2"/>
          </reference>
        </references>
      </pivotArea>
    </chartFormat>
    <chartFormat chart="189" format="34" series="1">
      <pivotArea type="data" outline="0" fieldPosition="0">
        <references count="1">
          <reference field="4294967294" count="1" selected="0">
            <x v="3"/>
          </reference>
        </references>
      </pivotArea>
    </chartFormat>
    <chartFormat chart="189" format="35" series="1">
      <pivotArea type="data" outline="0" fieldPosition="0">
        <references count="1">
          <reference field="4294967294" count="1" selected="0">
            <x v="4"/>
          </reference>
        </references>
      </pivotArea>
    </chartFormat>
    <chartFormat chart="189" format="36" series="1">
      <pivotArea type="data" outline="0" fieldPosition="0">
        <references count="1">
          <reference field="4294967294" count="1" selected="0">
            <x v="0"/>
          </reference>
        </references>
      </pivotArea>
    </chartFormat>
    <chartFormat chart="189" format="37" series="1">
      <pivotArea type="data" outline="0" fieldPosition="0">
        <references count="1">
          <reference field="4294967294" count="1" selected="0">
            <x v="1"/>
          </reference>
        </references>
      </pivotArea>
    </chartFormat>
    <chartFormat chart="190" format="38" series="1">
      <pivotArea type="data" outline="0" fieldPosition="0">
        <references count="1">
          <reference field="4294967294" count="1" selected="0">
            <x v="2"/>
          </reference>
        </references>
      </pivotArea>
    </chartFormat>
    <chartFormat chart="190" format="39" series="1">
      <pivotArea type="data" outline="0" fieldPosition="0">
        <references count="1">
          <reference field="4294967294" count="1" selected="0">
            <x v="3"/>
          </reference>
        </references>
      </pivotArea>
    </chartFormat>
    <chartFormat chart="190" format="40" series="1">
      <pivotArea type="data" outline="0" fieldPosition="0">
        <references count="1">
          <reference field="4294967294" count="1" selected="0">
            <x v="4"/>
          </reference>
        </references>
      </pivotArea>
    </chartFormat>
    <chartFormat chart="190" format="41" series="1">
      <pivotArea type="data" outline="0" fieldPosition="0">
        <references count="1">
          <reference field="4294967294" count="1" selected="0">
            <x v="0"/>
          </reference>
        </references>
      </pivotArea>
    </chartFormat>
    <chartFormat chart="190" format="42"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EB750A30-9ED4-4493-BC19-A21809617540}" name="PivotTable2" cacheId="0" applyNumberFormats="0" applyBorderFormats="0" applyFontFormats="0" applyPatternFormats="0" applyAlignmentFormats="0" applyWidthHeightFormats="1" dataCaption="Values" grandTotalCaption=" Total" updatedVersion="8" minRefreshableVersion="3" useAutoFormatting="1" rowGrandTotals="0" itemPrintTitles="1" createdVersion="8" indent="0" outline="1" outlineData="1" multipleFieldFilters="0" chartFormat="8" rowHeaderCaption="">
  <location ref="A97:D124" firstHeaderRow="0" firstDataRow="1" firstDataCol="1" rowPageCount="1" colPageCount="1"/>
  <pivotFields count="25">
    <pivotField axis="axisRow" showAll="0">
      <items count="29">
        <item x="0"/>
        <item x="1"/>
        <item x="2"/>
        <item x="3"/>
        <item x="4"/>
        <item x="5"/>
        <item x="6"/>
        <item x="7"/>
        <item h="1" x="27"/>
        <item x="8"/>
        <item x="9"/>
        <item x="10"/>
        <item x="11"/>
        <item x="12"/>
        <item x="13"/>
        <item x="14"/>
        <item x="15"/>
        <item x="16"/>
        <item x="17"/>
        <item x="18"/>
        <item x="19"/>
        <item x="20"/>
        <item x="21"/>
        <item x="22"/>
        <item x="23"/>
        <item x="24"/>
        <item x="25"/>
        <item x="26"/>
        <item t="default"/>
      </items>
    </pivotField>
    <pivotField axis="axisPage" showAll="0">
      <items count="20">
        <item m="1" x="12"/>
        <item m="1" x="13"/>
        <item m="1" x="14"/>
        <item m="1" x="15"/>
        <item m="1" x="16"/>
        <item m="1" x="17"/>
        <item m="1" x="18"/>
        <item x="0"/>
        <item x="7"/>
        <item x="1"/>
        <item x="8"/>
        <item x="2"/>
        <item x="3"/>
        <item x="4"/>
        <item x="5"/>
        <item x="6"/>
        <item x="9"/>
        <item x="10"/>
        <item x="11"/>
        <item t="default"/>
      </items>
    </pivotField>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s>
  <rowFields count="1">
    <field x="0"/>
  </rowFields>
  <rowItems count="27">
    <i>
      <x/>
    </i>
    <i>
      <x v="1"/>
    </i>
    <i>
      <x v="2"/>
    </i>
    <i>
      <x v="3"/>
    </i>
    <i>
      <x v="4"/>
    </i>
    <i>
      <x v="5"/>
    </i>
    <i>
      <x v="6"/>
    </i>
    <i>
      <x v="7"/>
    </i>
    <i>
      <x v="9"/>
    </i>
    <i>
      <x v="10"/>
    </i>
    <i>
      <x v="11"/>
    </i>
    <i>
      <x v="12"/>
    </i>
    <i>
      <x v="13"/>
    </i>
    <i>
      <x v="14"/>
    </i>
    <i>
      <x v="15"/>
    </i>
    <i>
      <x v="16"/>
    </i>
    <i>
      <x v="17"/>
    </i>
    <i>
      <x v="18"/>
    </i>
    <i>
      <x v="19"/>
    </i>
    <i>
      <x v="20"/>
    </i>
    <i>
      <x v="21"/>
    </i>
    <i>
      <x v="22"/>
    </i>
    <i>
      <x v="23"/>
    </i>
    <i>
      <x v="24"/>
    </i>
    <i>
      <x v="25"/>
    </i>
    <i>
      <x v="26"/>
    </i>
    <i>
      <x v="27"/>
    </i>
  </rowItems>
  <colFields count="1">
    <field x="-2"/>
  </colFields>
  <colItems count="3">
    <i>
      <x/>
    </i>
    <i i="1">
      <x v="1"/>
    </i>
    <i i="2">
      <x v="2"/>
    </i>
  </colItems>
  <pageFields count="1">
    <pageField fld="1" item="9" hier="-1"/>
  </pageFields>
  <dataFields count="3">
    <dataField name="SCF incl. MS own contribution" fld="9" baseField="0" baseItem="0"/>
    <dataField name="Rest of ETS2" fld="10" baseField="0" baseItem="0"/>
    <dataField name="Optional frontloading" fld="15" baseField="0" baseItem="0"/>
  </dataFields>
  <formats count="1">
    <format dxfId="4">
      <pivotArea field="0" type="button" dataOnly="0" labelOnly="1" outline="0" axis="axisRow" fieldPosition="0"/>
    </format>
  </formats>
  <chartFormats count="15">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1"/>
          </reference>
        </references>
      </pivotArea>
    </chartFormat>
    <chartFormat chart="1" format="2" series="1">
      <pivotArea type="data" outline="0" fieldPosition="0">
        <references count="1">
          <reference field="4294967294" count="1" selected="0">
            <x v="2"/>
          </reference>
        </references>
      </pivotArea>
    </chartFormat>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 chart="2" format="2" series="1">
      <pivotArea type="data" outline="0" fieldPosition="0">
        <references count="1">
          <reference field="4294967294" count="1" selected="0">
            <x v="2"/>
          </reference>
        </references>
      </pivotArea>
    </chartFormat>
    <chartFormat chart="3" format="0"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1"/>
          </reference>
        </references>
      </pivotArea>
    </chartFormat>
    <chartFormat chart="3" format="2" series="1">
      <pivotArea type="data" outline="0" fieldPosition="0">
        <references count="1">
          <reference field="4294967294" count="1" selected="0">
            <x v="2"/>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 chart="5" format="0"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1"/>
          </reference>
        </references>
      </pivotArea>
    </chartFormat>
    <chartFormat chart="5" format="2"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8A5C729E-D638-44A8-8B69-41E076A0514B}" name="Redistribution per capita" cacheId="0" dataPosition="0" applyNumberFormats="0" applyBorderFormats="0" applyFontFormats="0" applyPatternFormats="0" applyAlignmentFormats="0" applyWidthHeightFormats="1" dataCaption="Values" grandTotalCaption=" Total" updatedVersion="8" minRefreshableVersion="3" useAutoFormatting="1" rowGrandTotals="0" itemPrintTitles="1" createdVersion="8" indent="0" outline="1" outlineData="1" multipleFieldFilters="0" chartFormat="196" rowHeaderCaption="Income support">
  <location ref="A29:F36" firstHeaderRow="0" firstDataRow="1" firstDataCol="1" rowPageCount="1" colPageCount="1"/>
  <pivotFields count="25">
    <pivotField axis="axisPage" showAll="0">
      <items count="29">
        <item x="0"/>
        <item x="1"/>
        <item x="2"/>
        <item x="3"/>
        <item x="4"/>
        <item x="5"/>
        <item x="6"/>
        <item x="7"/>
        <item x="27"/>
        <item x="8"/>
        <item x="9"/>
        <item x="10"/>
        <item x="11"/>
        <item x="12"/>
        <item x="13"/>
        <item x="14"/>
        <item x="15"/>
        <item x="16"/>
        <item x="17"/>
        <item x="18"/>
        <item x="19"/>
        <item x="20"/>
        <item x="21"/>
        <item x="22"/>
        <item x="23"/>
        <item x="24"/>
        <item x="25"/>
        <item x="26"/>
        <item t="default"/>
      </items>
    </pivotField>
    <pivotField axis="axisRow" showAll="0">
      <items count="20">
        <item x="0"/>
        <item h="1" x="7"/>
        <item x="1"/>
        <item h="1" x="8"/>
        <item x="2"/>
        <item x="3"/>
        <item x="4"/>
        <item x="5"/>
        <item x="6"/>
        <item h="1" m="1" x="12"/>
        <item h="1" m="1" x="13"/>
        <item h="1" m="1" x="14"/>
        <item h="1" m="1" x="15"/>
        <item h="1" m="1" x="16"/>
        <item h="1" m="1" x="17"/>
        <item h="1" m="1" x="18"/>
        <item h="1" x="9"/>
        <item h="1" x="10"/>
        <item h="1" x="11"/>
        <item t="default"/>
      </items>
    </pivotField>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dataField="1" showAll="0"/>
    <pivotField dataField="1" showAll="0"/>
    <pivotField showAll="0"/>
    <pivotField showAll="0"/>
    <pivotField showAll="0"/>
    <pivotField showAll="0"/>
    <pivotField showAll="0"/>
    <pivotField dataField="1" showAll="0"/>
  </pivotFields>
  <rowFields count="1">
    <field x="1"/>
  </rowFields>
  <rowItems count="7">
    <i>
      <x/>
    </i>
    <i>
      <x v="2"/>
    </i>
    <i>
      <x v="4"/>
    </i>
    <i>
      <x v="5"/>
    </i>
    <i>
      <x v="6"/>
    </i>
    <i>
      <x v="7"/>
    </i>
    <i>
      <x v="8"/>
    </i>
  </rowItems>
  <colFields count="1">
    <field x="-2"/>
  </colFields>
  <colItems count="5">
    <i>
      <x/>
    </i>
    <i i="1">
      <x v="1"/>
    </i>
    <i i="2">
      <x v="2"/>
    </i>
    <i i="3">
      <x v="3"/>
    </i>
    <i i="4">
      <x v="4"/>
    </i>
  </colItems>
  <pageFields count="1">
    <pageField fld="0" item="0" hier="-1"/>
  </pageFields>
  <dataFields count="5">
    <dataField name="To         lower income pop. (all of ETS2)" fld="17" baseField="1" baseItem="0"/>
    <dataField name="Only to pop. at risk of poverty (SCF only)" fld="13" baseField="1" baseItem="0"/>
    <dataField name="To         lower income pop. (SCF only)" fld="12" baseField="1" baseItem="0"/>
    <dataField name="Only to pop. at risk of poverty (all of ETS2)" fld="18" baseField="1" baseItem="0"/>
    <dataField name="Income support selected" fld="24" baseField="1" baseItem="0"/>
  </dataFields>
  <chartFormats count="5">
    <chartFormat chart="6" format="37" series="1">
      <pivotArea type="data" outline="0" fieldPosition="0">
        <references count="1">
          <reference field="4294967294" count="1" selected="0">
            <x v="2"/>
          </reference>
        </references>
      </pivotArea>
    </chartFormat>
    <chartFormat chart="6" format="38" series="1">
      <pivotArea type="data" outline="0" fieldPosition="0">
        <references count="1">
          <reference field="4294967294" count="1" selected="0">
            <x v="1"/>
          </reference>
        </references>
      </pivotArea>
    </chartFormat>
    <chartFormat chart="6" format="40" series="1">
      <pivotArea type="data" outline="0" fieldPosition="0">
        <references count="1">
          <reference field="4294967294" count="1" selected="0">
            <x v="0"/>
          </reference>
        </references>
      </pivotArea>
    </chartFormat>
    <chartFormat chart="6" format="41" series="1">
      <pivotArea type="data" outline="0" fieldPosition="0">
        <references count="1">
          <reference field="4294967294" count="1" selected="0">
            <x v="3"/>
          </reference>
        </references>
      </pivotArea>
    </chartFormat>
    <chartFormat chart="6" format="42" series="1">
      <pivotArea type="data" outline="0" fieldPosition="0">
        <references count="1">
          <reference field="4294967294"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471D007-9AA1-40D5-AC36-02D9F34DDAA7}" name="Revenue split" cacheId="0" applyNumberFormats="0" applyBorderFormats="0" applyFontFormats="0" applyPatternFormats="0" applyAlignmentFormats="0" applyWidthHeightFormats="1" dataCaption="Values" grandTotalCaption="Total" updatedVersion="8" minRefreshableVersion="3" useAutoFormatting="1" rowGrandTotals="0" itemPrintTitles="1" createdVersion="8" indent="0" outline="1" outlineData="1" multipleFieldFilters="0" chartFormat="333" rowHeaderCaption="Revenues">
  <location ref="A3:G10" firstHeaderRow="0" firstDataRow="1" firstDataCol="1" rowPageCount="1" colPageCount="1"/>
  <pivotFields count="25">
    <pivotField axis="axisPage" showAll="0">
      <items count="29">
        <item x="0"/>
        <item x="1"/>
        <item x="2"/>
        <item x="3"/>
        <item x="4"/>
        <item x="5"/>
        <item x="6"/>
        <item x="7"/>
        <item x="27"/>
        <item x="8"/>
        <item x="9"/>
        <item x="10"/>
        <item x="11"/>
        <item x="12"/>
        <item x="13"/>
        <item x="14"/>
        <item x="15"/>
        <item x="16"/>
        <item x="17"/>
        <item x="18"/>
        <item x="19"/>
        <item x="20"/>
        <item x="21"/>
        <item x="22"/>
        <item x="23"/>
        <item x="24"/>
        <item x="25"/>
        <item x="26"/>
        <item t="default"/>
      </items>
    </pivotField>
    <pivotField axis="axisRow" showAll="0">
      <items count="20">
        <item x="0"/>
        <item h="1" x="7"/>
        <item x="1"/>
        <item h="1" x="8"/>
        <item x="2"/>
        <item x="3"/>
        <item x="4"/>
        <item x="5"/>
        <item x="6"/>
        <item h="1" m="1" x="12"/>
        <item h="1" m="1" x="13"/>
        <item h="1" m="1" x="14"/>
        <item h="1" m="1" x="15"/>
        <item h="1" m="1" x="16"/>
        <item h="1" m="1" x="17"/>
        <item h="1" m="1" x="18"/>
        <item h="1" x="9"/>
        <item h="1" x="10"/>
        <item h="1" x="11"/>
        <item t="default"/>
      </items>
    </pivotField>
    <pivotField dataField="1" showAll="0"/>
    <pivotField showAll="0"/>
    <pivotField dataField="1" showAll="0"/>
    <pivotField showAll="0"/>
    <pivotField dataField="1" showAll="0"/>
    <pivotField showAll="0"/>
    <pivotField dataField="1" showAll="0"/>
    <pivotField showAll="0"/>
    <pivotField showAll="0"/>
    <pivotField showAll="0"/>
    <pivotField showAll="0"/>
    <pivotField showAll="0"/>
    <pivotField dataField="1" showAll="0"/>
    <pivotField showAll="0"/>
    <pivotField showAll="0"/>
    <pivotField showAll="0"/>
    <pivotField showAll="0"/>
    <pivotField dataField="1" showAll="0"/>
    <pivotField showAll="0"/>
    <pivotField showAll="0"/>
    <pivotField showAll="0"/>
    <pivotField showAll="0"/>
    <pivotField showAll="0"/>
  </pivotFields>
  <rowFields count="1">
    <field x="1"/>
  </rowFields>
  <rowItems count="7">
    <i>
      <x/>
    </i>
    <i>
      <x v="2"/>
    </i>
    <i>
      <x v="4"/>
    </i>
    <i>
      <x v="5"/>
    </i>
    <i>
      <x v="6"/>
    </i>
    <i>
      <x v="7"/>
    </i>
    <i>
      <x v="8"/>
    </i>
  </rowItems>
  <colFields count="1">
    <field x="-2"/>
  </colFields>
  <colItems count="6">
    <i>
      <x/>
    </i>
    <i i="1">
      <x v="1"/>
    </i>
    <i i="2">
      <x v="2"/>
    </i>
    <i i="3">
      <x v="3"/>
    </i>
    <i i="4">
      <x v="4"/>
    </i>
    <i i="5">
      <x v="5"/>
    </i>
  </colItems>
  <pageFields count="1">
    <pageField fld="0" item="0" hier="-1"/>
  </pageFields>
  <dataFields count="6">
    <dataField name="SCF" fld="2" baseField="0" baseItem="0"/>
    <dataField name="Own contribution" fld="4" baseField="0" baseItem="0"/>
    <dataField name="Rest of ETS2 revenues" fld="6" baseField="1" baseItem="0"/>
    <dataField name="Optional frontloading" fld="14" baseField="1" baseItem="0"/>
    <dataField name="Total revenue" fld="19" baseField="0" baseItem="0"/>
    <dataField name="Max. Direct income support from SCF" fld="8" baseField="1" baseItem="0"/>
  </dataFields>
  <chartFormats count="22">
    <chartFormat chart="12" format="25" series="1">
      <pivotArea type="data" outline="0" fieldPosition="0">
        <references count="1">
          <reference field="4294967294" count="1" selected="0">
            <x v="0"/>
          </reference>
        </references>
      </pivotArea>
    </chartFormat>
    <chartFormat chart="12" format="26" series="1">
      <pivotArea type="data" outline="0" fieldPosition="0">
        <references count="1">
          <reference field="4294967294" count="1" selected="0">
            <x v="1"/>
          </reference>
        </references>
      </pivotArea>
    </chartFormat>
    <chartFormat chart="12" format="27" series="1">
      <pivotArea type="data" outline="0" fieldPosition="0">
        <references count="1">
          <reference field="4294967294" count="1" selected="0">
            <x v="2"/>
          </reference>
        </references>
      </pivotArea>
    </chartFormat>
    <chartFormat chart="12" format="28" series="1">
      <pivotArea type="data" outline="0" fieldPosition="0">
        <references count="1">
          <reference field="4294967294" count="1" selected="0">
            <x v="3"/>
          </reference>
        </references>
      </pivotArea>
    </chartFormat>
    <chartFormat chart="12" format="29" series="1">
      <pivotArea type="data" outline="0" fieldPosition="0">
        <references count="1">
          <reference field="4294967294" count="1" selected="0">
            <x v="5"/>
          </reference>
        </references>
      </pivotArea>
    </chartFormat>
    <chartFormat chart="109" format="30" series="1">
      <pivotArea type="data" outline="0" fieldPosition="0">
        <references count="1">
          <reference field="4294967294" count="1" selected="0">
            <x v="0"/>
          </reference>
        </references>
      </pivotArea>
    </chartFormat>
    <chartFormat chart="109" format="31" series="1">
      <pivotArea type="data" outline="0" fieldPosition="0">
        <references count="1">
          <reference field="4294967294" count="1" selected="0">
            <x v="1"/>
          </reference>
        </references>
      </pivotArea>
    </chartFormat>
    <chartFormat chart="109" format="32" series="1">
      <pivotArea type="data" outline="0" fieldPosition="0">
        <references count="1">
          <reference field="4294967294" count="1" selected="0">
            <x v="2"/>
          </reference>
        </references>
      </pivotArea>
    </chartFormat>
    <chartFormat chart="109" format="33" series="1">
      <pivotArea type="data" outline="0" fieldPosition="0">
        <references count="1">
          <reference field="4294967294" count="1" selected="0">
            <x v="3"/>
          </reference>
        </references>
      </pivotArea>
    </chartFormat>
    <chartFormat chart="109" format="34" series="1">
      <pivotArea type="data" outline="0" fieldPosition="0">
        <references count="1">
          <reference field="4294967294" count="1" selected="0">
            <x v="5"/>
          </reference>
        </references>
      </pivotArea>
    </chartFormat>
    <chartFormat chart="157" format="30" series="1">
      <pivotArea type="data" outline="0" fieldPosition="0">
        <references count="1">
          <reference field="4294967294" count="1" selected="0">
            <x v="0"/>
          </reference>
        </references>
      </pivotArea>
    </chartFormat>
    <chartFormat chart="157" format="31" series="1">
      <pivotArea type="data" outline="0" fieldPosition="0">
        <references count="1">
          <reference field="4294967294" count="1" selected="0">
            <x v="1"/>
          </reference>
        </references>
      </pivotArea>
    </chartFormat>
    <chartFormat chart="157" format="32" series="1">
      <pivotArea type="data" outline="0" fieldPosition="0">
        <references count="1">
          <reference field="4294967294" count="1" selected="0">
            <x v="2"/>
          </reference>
        </references>
      </pivotArea>
    </chartFormat>
    <chartFormat chart="157" format="33" series="1">
      <pivotArea type="data" outline="0" fieldPosition="0">
        <references count="1">
          <reference field="4294967294" count="1" selected="0">
            <x v="3"/>
          </reference>
        </references>
      </pivotArea>
    </chartFormat>
    <chartFormat chart="157" format="34" series="1">
      <pivotArea type="data" outline="0" fieldPosition="0">
        <references count="1">
          <reference field="4294967294" count="1" selected="0">
            <x v="5"/>
          </reference>
        </references>
      </pivotArea>
    </chartFormat>
    <chartFormat chart="12" format="30" series="1">
      <pivotArea type="data" outline="0" fieldPosition="0">
        <references count="1">
          <reference field="4294967294" count="1" selected="0">
            <x v="4"/>
          </reference>
        </references>
      </pivotArea>
    </chartFormat>
    <chartFormat chart="263" format="37" series="1">
      <pivotArea type="data" outline="0" fieldPosition="0">
        <references count="1">
          <reference field="4294967294" count="1" selected="0">
            <x v="0"/>
          </reference>
        </references>
      </pivotArea>
    </chartFormat>
    <chartFormat chart="263" format="38" series="1">
      <pivotArea type="data" outline="0" fieldPosition="0">
        <references count="1">
          <reference field="4294967294" count="1" selected="0">
            <x v="1"/>
          </reference>
        </references>
      </pivotArea>
    </chartFormat>
    <chartFormat chart="263" format="39" series="1">
      <pivotArea type="data" outline="0" fieldPosition="0">
        <references count="1">
          <reference field="4294967294" count="1" selected="0">
            <x v="2"/>
          </reference>
        </references>
      </pivotArea>
    </chartFormat>
    <chartFormat chart="263" format="40" series="1">
      <pivotArea type="data" outline="0" fieldPosition="0">
        <references count="1">
          <reference field="4294967294" count="1" selected="0">
            <x v="3"/>
          </reference>
        </references>
      </pivotArea>
    </chartFormat>
    <chartFormat chart="263" format="41" series="1">
      <pivotArea type="data" outline="0" fieldPosition="0">
        <references count="1">
          <reference field="4294967294" count="1" selected="0">
            <x v="4"/>
          </reference>
        </references>
      </pivotArea>
    </chartFormat>
    <chartFormat chart="263" format="42" series="1">
      <pivotArea type="data" outline="0" fieldPosition="0">
        <references count="1">
          <reference field="4294967294"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33C20563-AA1D-4B03-9A7D-FA1C689EF669}" name="revenue per capita" cacheId="0" dataPosition="0" applyNumberFormats="0" applyBorderFormats="0" applyFontFormats="0" applyPatternFormats="0" applyAlignmentFormats="0" applyWidthHeightFormats="1" dataCaption="Values" grandTotalCaption=" Total" updatedVersion="8" minRefreshableVersion="3" useAutoFormatting="1" rowGrandTotals="0" itemPrintTitles="1" createdVersion="8" indent="0" outline="1" outlineData="1" multipleFieldFilters="0" chartFormat="59" rowHeaderCaption="Per capita">
  <location ref="A16:D23" firstHeaderRow="0" firstDataRow="1" firstDataCol="1" rowPageCount="1" colPageCount="1"/>
  <pivotFields count="25">
    <pivotField axis="axisPage" showAll="0">
      <items count="29">
        <item x="0"/>
        <item x="1"/>
        <item x="2"/>
        <item x="3"/>
        <item x="4"/>
        <item x="5"/>
        <item x="6"/>
        <item x="7"/>
        <item x="27"/>
        <item x="8"/>
        <item x="9"/>
        <item x="10"/>
        <item x="11"/>
        <item x="12"/>
        <item x="13"/>
        <item x="14"/>
        <item x="15"/>
        <item x="16"/>
        <item x="17"/>
        <item x="18"/>
        <item x="19"/>
        <item x="20"/>
        <item x="21"/>
        <item x="22"/>
        <item x="23"/>
        <item x="24"/>
        <item x="25"/>
        <item x="26"/>
        <item t="default"/>
      </items>
    </pivotField>
    <pivotField axis="axisRow" showAll="0">
      <items count="20">
        <item x="0"/>
        <item h="1" x="7"/>
        <item x="1"/>
        <item h="1" x="8"/>
        <item x="2"/>
        <item x="3"/>
        <item x="4"/>
        <item x="5"/>
        <item x="6"/>
        <item h="1" m="1" x="12"/>
        <item h="1" m="1" x="13"/>
        <item h="1" m="1" x="14"/>
        <item h="1" m="1" x="15"/>
        <item h="1" m="1" x="16"/>
        <item h="1" m="1" x="17"/>
        <item h="1" m="1" x="18"/>
        <item h="1" x="9"/>
        <item h="1" x="10"/>
        <item h="1" x="11"/>
        <item t="default"/>
      </items>
    </pivotField>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s>
  <rowFields count="1">
    <field x="1"/>
  </rowFields>
  <rowItems count="7">
    <i>
      <x/>
    </i>
    <i>
      <x v="2"/>
    </i>
    <i>
      <x v="4"/>
    </i>
    <i>
      <x v="5"/>
    </i>
    <i>
      <x v="6"/>
    </i>
    <i>
      <x v="7"/>
    </i>
    <i>
      <x v="8"/>
    </i>
  </rowItems>
  <colFields count="1">
    <field x="-2"/>
  </colFields>
  <colItems count="3">
    <i>
      <x/>
    </i>
    <i i="1">
      <x v="1"/>
    </i>
    <i i="2">
      <x v="2"/>
    </i>
  </colItems>
  <pageFields count="1">
    <pageField fld="0" item="0" hier="-1"/>
  </pageFields>
  <dataFields count="3">
    <dataField name="SCF incl. own contribution" fld="9" baseField="1" baseItem="0"/>
    <dataField name="Rest of ETS2 revenues" fld="10" baseField="1" baseItem="0"/>
    <dataField name="Optional frontloading" fld="15" baseField="1" baseItem="0"/>
  </dataFields>
  <formats count="1">
    <format dxfId="5">
      <pivotArea outline="0" collapsedLevelsAreSubtotals="1" fieldPosition="0"/>
    </format>
  </formats>
  <chartFormats count="13">
    <chartFormat chart="2" format="42" series="1">
      <pivotArea type="data" outline="0" fieldPosition="0">
        <references count="1">
          <reference field="4294967294" count="1" selected="0">
            <x v="0"/>
          </reference>
        </references>
      </pivotArea>
    </chartFormat>
    <chartFormat chart="2" format="43" series="1">
      <pivotArea type="data" outline="0" fieldPosition="0">
        <references count="1">
          <reference field="4294967294" count="1" selected="0">
            <x v="1"/>
          </reference>
        </references>
      </pivotArea>
    </chartFormat>
    <chartFormat chart="3" format="44" series="1">
      <pivotArea type="data" outline="0" fieldPosition="0">
        <references count="1">
          <reference field="4294967294" count="1" selected="0">
            <x v="0"/>
          </reference>
        </references>
      </pivotArea>
    </chartFormat>
    <chartFormat chart="3" format="45" series="1">
      <pivotArea type="data" outline="0" fieldPosition="0">
        <references count="1">
          <reference field="4294967294" count="1" selected="0">
            <x v="1"/>
          </reference>
        </references>
      </pivotArea>
    </chartFormat>
    <chartFormat chart="4" format="44" series="1">
      <pivotArea type="data" outline="0" fieldPosition="0">
        <references count="1">
          <reference field="4294967294" count="1" selected="0">
            <x v="0"/>
          </reference>
        </references>
      </pivotArea>
    </chartFormat>
    <chartFormat chart="4" format="45" series="1">
      <pivotArea type="data" outline="0" fieldPosition="0">
        <references count="1">
          <reference field="4294967294" count="1" selected="0">
            <x v="1"/>
          </reference>
        </references>
      </pivotArea>
    </chartFormat>
    <chartFormat chart="4" format="46" series="1">
      <pivotArea type="data" outline="0" fieldPosition="0">
        <references count="1">
          <reference field="4294967294" count="1" selected="0">
            <x v="2"/>
          </reference>
        </references>
      </pivotArea>
    </chartFormat>
    <chartFormat chart="8" format="47" series="1">
      <pivotArea type="data" outline="0" fieldPosition="0">
        <references count="1">
          <reference field="4294967294" count="1" selected="0">
            <x v="0"/>
          </reference>
        </references>
      </pivotArea>
    </chartFormat>
    <chartFormat chart="8" format="48" series="1">
      <pivotArea type="data" outline="0" fieldPosition="0">
        <references count="1">
          <reference field="4294967294" count="1" selected="0">
            <x v="1"/>
          </reference>
        </references>
      </pivotArea>
    </chartFormat>
    <chartFormat chart="8" format="49" series="1">
      <pivotArea type="data" outline="0" fieldPosition="0">
        <references count="1">
          <reference field="4294967294" count="1" selected="0">
            <x v="2"/>
          </reference>
        </references>
      </pivotArea>
    </chartFormat>
    <chartFormat chart="55" format="47" series="1">
      <pivotArea type="data" outline="0" fieldPosition="0">
        <references count="1">
          <reference field="4294967294" count="1" selected="0">
            <x v="0"/>
          </reference>
        </references>
      </pivotArea>
    </chartFormat>
    <chartFormat chart="55" format="48" series="1">
      <pivotArea type="data" outline="0" fieldPosition="0">
        <references count="1">
          <reference field="4294967294" count="1" selected="0">
            <x v="1"/>
          </reference>
        </references>
      </pivotArea>
    </chartFormat>
    <chartFormat chart="55" format="49"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3" backgroundRefresh="0" connectionId="1" xr16:uid="{74EBCD60-1FD3-4EC8-8032-E94778B31001}" autoFormatId="16" applyNumberFormats="0" applyBorderFormats="0" applyFontFormats="0" applyPatternFormats="0" applyAlignmentFormats="0" applyWidthHeightFormats="0">
  <queryTableRefresh nextId="48">
    <queryTableFields count="25">
      <queryTableField id="1" name="Country" tableColumnId="1"/>
      <queryTableField id="2" name="Year" tableColumnId="2"/>
      <queryTableField id="3" name="SCF revenues" tableColumnId="3"/>
      <queryTableField id="4" name="ETS2 auction revenues outide SCF" tableColumnId="4"/>
      <queryTableField id="14" name="Min. own contribution to expenses by MS to SCF" tableColumnId="14"/>
      <queryTableField id="13" name="Total SCF incl. own contribution" tableColumnId="13"/>
      <queryTableField id="12" name="Rest of ETS2 revenues after own contribution" tableColumnId="12"/>
      <queryTableField id="11" name="Total ETS2 + SCF revenues" tableColumnId="11"/>
      <queryTableField id="10" name="Max direct redistribution in SCF" tableColumnId="10"/>
      <queryTableField id="9" name="Total SCF incl. own contribution per capita" tableColumnId="9"/>
      <queryTableField id="8" name="Rest of ETS2 revenues after own contribution per capita" tableColumnId="8"/>
      <queryTableField id="7" name="Maximum direct redistribution in SCF per capita" tableColumnId="7"/>
      <queryTableField id="6" name="Max redistribution per capita - lower income households" tableColumnId="6"/>
      <queryTableField id="5" name="Max redistribution to pop at risk of poverty" tableColumnId="5"/>
      <queryTableField id="24" name="Frontloading" tableColumnId="15"/>
      <queryTableField id="25" name="Frontloading per cap" tableColumnId="16"/>
      <queryTableField id="41" name="DIS per cap" tableColumnId="17"/>
      <queryTableField id="27" name="All revenues Per cap low" tableColumnId="18"/>
      <queryTableField id="28" name="All revenues per cap poverty" tableColumnId="19"/>
      <queryTableField id="29" name="Revenue" tableColumnId="20"/>
      <queryTableField id="42" name="Direct Income Support" tableColumnId="21"/>
      <queryTableField id="31" name="SocialEV" tableColumnId="22"/>
      <queryTableField id="43" name="SocialLeasing HP" tableColumnId="31"/>
      <queryTableField id="46" name="ETS2Rest+FL+Own" tableColumnId="23"/>
      <queryTableField id="47" name="DIS-capita-adjust" tableColumnId="24"/>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 xr10:uid="{E850EB1D-ABA5-45BD-A0EC-0F502AE9C9FB}" sourceName="Country">
  <pivotTables>
    <pivotTable tabId="27" name="Revenue split"/>
    <pivotTable tabId="27" name="Redistribution per capita"/>
    <pivotTable tabId="27" name="revenue per capita"/>
    <pivotTable tabId="27" name="PivotTable3"/>
    <pivotTable tabId="27" name="PivotTable4"/>
  </pivotTables>
  <data>
    <tabular pivotCacheId="837483891">
      <items count="28">
        <i x="0" s="1"/>
        <i x="1"/>
        <i x="2"/>
        <i x="3"/>
        <i x="4"/>
        <i x="5"/>
        <i x="6"/>
        <i x="7"/>
        <i x="27"/>
        <i x="8"/>
        <i x="9"/>
        <i x="10"/>
        <i x="11"/>
        <i x="12"/>
        <i x="13"/>
        <i x="14"/>
        <i x="15"/>
        <i x="16"/>
        <i x="17"/>
        <i x="18"/>
        <i x="19"/>
        <i x="20"/>
        <i x="21"/>
        <i x="22"/>
        <i x="23"/>
        <i x="24"/>
        <i x="25"/>
        <i x="26"/>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ry 1" xr10:uid="{BBDA886B-10A9-413E-990C-5CFFE4FFCC83}" cache="Slicer_Country" caption="Country" rowHeight="225425"/>
</slicers>
</file>

<file path=xl/tables/_rels/table27.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F47207C-CFBF-4736-8B50-EA6D440068F3}" name="Table2" displayName="Table2" ref="B37:K65" totalsRowShown="0" headerRowDxfId="329" dataDxfId="327" headerRowBorderDxfId="328" tableBorderDxfId="326">
  <autoFilter ref="B37:K65" xr:uid="{FF47207C-CFBF-4736-8B50-EA6D440068F3}"/>
  <tableColumns count="10">
    <tableColumn id="1" xr3:uid="{68D6B1A2-D53B-420E-8E4A-50ACB430168E}" name="[Million EUR 2023]" dataDxfId="325"/>
    <tableColumn id="2" xr3:uid="{94712C05-F42F-4562-AA40-0962CAE9F0E9}" name="2026" dataDxfId="324"/>
    <tableColumn id="3" xr3:uid="{F3D12F61-4B36-4DC9-AFCD-621D4B3BBD7E}" name="2027" dataDxfId="323"/>
    <tableColumn id="4" xr3:uid="{7642B8A7-DD57-4CC4-A1B2-396F42D5D870}" name="2028" dataDxfId="322"/>
    <tableColumn id="5" xr3:uid="{769229CF-9A9E-418F-8A0A-3F21C60420ED}" name="2029" dataDxfId="321"/>
    <tableColumn id="6" xr3:uid="{6BFA0E16-5193-4E30-972A-F4C7661B1A7F}" name="2030" dataDxfId="320"/>
    <tableColumn id="7" xr3:uid="{D3530C76-C429-411B-8374-AA81E154B8A4}" name="2031" dataDxfId="319"/>
    <tableColumn id="8" xr3:uid="{8FDBCA25-B27F-4EE1-8F13-5E01236B8CE8}" name="2032" dataDxfId="318"/>
    <tableColumn id="9" xr3:uid="{90C94657-FB39-489A-9E9A-04C1AE0CBA19}" name="2026-2032" dataDxfId="317"/>
    <tableColumn id="10" xr3:uid="{6573EAB2-2464-483D-A44F-C1973F8ADBA5}" name="2027-2032" dataDxfId="316"/>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3EBFBBB-21B0-4A6D-9564-078A58F09941}" name="Table21" displayName="Table21" ref="AH71:AQ99" totalsRowShown="0" headerRowDxfId="205" dataDxfId="204" tableBorderDxfId="203">
  <autoFilter ref="AH71:AQ99" xr:uid="{63EBFBBB-21B0-4A6D-9564-078A58F09941}"/>
  <tableColumns count="10">
    <tableColumn id="1" xr3:uid="{584C9418-F4B7-4A11-AF73-9083366D57DE}" name="Column1" dataDxfId="202"/>
    <tableColumn id="2" xr3:uid="{FCDF7C3A-C67C-4E1A-856E-D06982E5238F}" name="2026" dataDxfId="201"/>
    <tableColumn id="3" xr3:uid="{61355DFA-634B-48CB-A74C-CD2FF2CE183A}" name="2027" dataDxfId="200"/>
    <tableColumn id="4" xr3:uid="{BDACAFBE-9951-44F1-8300-6CF5A99080C5}" name="2028" dataDxfId="199"/>
    <tableColumn id="5" xr3:uid="{CFBA28E7-3D61-44EB-A782-440603F76FE8}" name="2029" dataDxfId="198"/>
    <tableColumn id="6" xr3:uid="{7E2BF10D-2E08-4428-A727-86AA5956F2B6}" name="2030" dataDxfId="197"/>
    <tableColumn id="7" xr3:uid="{5B17FE2C-B77D-40EF-A466-350E3F767665}" name="2031" dataDxfId="196"/>
    <tableColumn id="8" xr3:uid="{E6947F95-9D08-4D66-B3FC-C09F00AE3360}" name="2032" dataDxfId="195"/>
    <tableColumn id="9" xr3:uid="{B1D482CE-CEC4-42F9-894C-84A1AF49865D}" name="2026-2032" dataDxfId="194"/>
    <tableColumn id="10" xr3:uid="{8C16C08A-EE61-47E7-B34D-C52B788691C3}" name="2027-2032" dataDxfId="193"/>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303FF59E-81BF-444D-BC83-0686B64CECDC}" name="Table23" displayName="Table23" ref="AR71:BA99" totalsRowShown="0" headerRowDxfId="192" dataDxfId="191" tableBorderDxfId="190">
  <autoFilter ref="AR71:BA99" xr:uid="{303FF59E-81BF-444D-BC83-0686B64CECDC}"/>
  <tableColumns count="10">
    <tableColumn id="1" xr3:uid="{902BF9CE-A472-4E50-BF71-E0804A94CAEC}" name="Column1" dataDxfId="189"/>
    <tableColumn id="2" xr3:uid="{0E5594C7-7CE2-443F-A03B-4029B4EECC53}" name="2026" dataDxfId="188"/>
    <tableColumn id="3" xr3:uid="{DA0CB4C9-2C5E-4DB9-9332-290DCECF955D}" name="2027" dataDxfId="187"/>
    <tableColumn id="4" xr3:uid="{16DA8C59-8607-4F6A-80C1-8E0BF2F36722}" name="2028" dataDxfId="186"/>
    <tableColumn id="5" xr3:uid="{A1144451-0A6B-43DC-A909-B78A290405F1}" name="2029" dataDxfId="185"/>
    <tableColumn id="6" xr3:uid="{94877789-FFB6-41FE-A575-6110417D546F}" name="2030" dataDxfId="184"/>
    <tableColumn id="7" xr3:uid="{D6BF8E38-685F-4486-8C81-85DC3B9B7375}" name="2031" dataDxfId="183"/>
    <tableColumn id="8" xr3:uid="{303AEA8D-CFD9-4649-8396-E17C5DC0A390}" name="2032" dataDxfId="182"/>
    <tableColumn id="9" xr3:uid="{8C4AE883-9FE9-4EAC-A9AE-746A75EA99CF}" name="2026-2032" dataDxfId="181"/>
    <tableColumn id="10" xr3:uid="{2BD8B2BF-EBDB-4DC9-BEF4-ACFFB4E837F5}" name="2027-2032" dataDxfId="180"/>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D2405C66-DDD7-4C90-82AE-182788EE136D}" name="Table25" displayName="Table25" ref="BB71:BK99" totalsRowShown="0" headerRowDxfId="179" dataDxfId="178" tableBorderDxfId="177">
  <autoFilter ref="BB71:BK99" xr:uid="{D2405C66-DDD7-4C90-82AE-182788EE136D}"/>
  <tableColumns count="10">
    <tableColumn id="1" xr3:uid="{8FEEFE02-9563-4178-A493-03EF22E97FD1}" name="Column1" dataDxfId="176"/>
    <tableColumn id="2" xr3:uid="{840D07BC-9621-4EA2-85DC-B98B40A122CE}" name="2026" dataDxfId="175">
      <calculatedColumnFormula>BM38/($N5*$P5)</calculatedColumnFormula>
    </tableColumn>
    <tableColumn id="3" xr3:uid="{C6F17780-3A36-48E1-B060-827FB316BAA1}" name="2027" dataDxfId="174">
      <calculatedColumnFormula>BN38/($N5*$P5)</calculatedColumnFormula>
    </tableColumn>
    <tableColumn id="4" xr3:uid="{92C51883-59BE-4637-8F45-173AFFBF8430}" name="2028" dataDxfId="173">
      <calculatedColumnFormula>BO38/($N5*$P5)</calculatedColumnFormula>
    </tableColumn>
    <tableColumn id="5" xr3:uid="{12532B8B-1C1A-43FB-BE9F-7D80DADC709C}" name="2029" dataDxfId="172">
      <calculatedColumnFormula>BP38/($N5*$P5)</calculatedColumnFormula>
    </tableColumn>
    <tableColumn id="6" xr3:uid="{DAC9214E-478C-488A-AD4A-8AAB3E2FAD84}" name="2030" dataDxfId="171">
      <calculatedColumnFormula>BQ38/($N5*$P5)</calculatedColumnFormula>
    </tableColumn>
    <tableColumn id="7" xr3:uid="{DB80CAC9-81B9-4CF9-B8FC-AD0201C1E9A4}" name="2031" dataDxfId="170">
      <calculatedColumnFormula>BR38/($N5*$P5)</calculatedColumnFormula>
    </tableColumn>
    <tableColumn id="8" xr3:uid="{F8BF57B3-D336-4CAB-B3F8-54BB8DEF2EAC}" name="2032" dataDxfId="169">
      <calculatedColumnFormula>BS38/($N5*$P5)</calculatedColumnFormula>
    </tableColumn>
    <tableColumn id="9" xr3:uid="{39474920-3B3B-413A-807B-39B2BBE27A86}" name="2026-2032" dataDxfId="168">
      <calculatedColumnFormula>BT38/($N5*$P5)</calculatedColumnFormula>
    </tableColumn>
    <tableColumn id="10" xr3:uid="{8E4CAE81-0C13-4EDD-B144-C239AB1BF5EC}" name="2027-2032" dataDxfId="167">
      <calculatedColumnFormula>BU38/($N5*$P5)</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60AD8D6-0D07-4EA6-BE61-EDAB185BD794}" name="Table154" displayName="Table154" ref="BV37:CE65" totalsRowShown="0" headerRowDxfId="166" dataDxfId="164" headerRowBorderDxfId="165" tableBorderDxfId="163">
  <autoFilter ref="BV37:CE65" xr:uid="{960AD8D6-0D07-4EA6-BE61-EDAB185BD794}"/>
  <tableColumns count="10">
    <tableColumn id="1" xr3:uid="{F37C958F-30EC-41BD-8B60-8A3C50A4320B}" name="Column1" dataDxfId="162"/>
    <tableColumn id="2" xr3:uid="{B15EF189-C3F3-4ADA-8123-7970F0BF12F2}" name="2026" dataDxfId="161">
      <calculatedColumnFormula>Dashboard!$E$16*SUM($AJ$7:$AO$7)*Dashboard!$H$16*$AA5</calculatedColumnFormula>
    </tableColumn>
    <tableColumn id="3" xr3:uid="{54EC407C-02E2-43E0-A081-56BE2FFE2EBD}" name="2027" dataDxfId="160">
      <calculatedColumnFormula>IF($AE$13=2027,0,($AE$18*(SUM($AJ$7:$AO$7)-$G$65/60-$H$65/60-$I$65/60)*$AG$18*$AA5*0.87)/2)</calculatedColumnFormula>
    </tableColumn>
    <tableColumn id="4" xr3:uid="{E69648F2-BD0C-4E58-82BC-835D45FD2AE3}" name="2028" dataDxfId="159">
      <calculatedColumnFormula>$BT$36*AS38</calculatedColumnFormula>
    </tableColumn>
    <tableColumn id="5" xr3:uid="{FD3A9624-0DCC-4409-8F14-9994B30C60F2}" name="2029" dataDxfId="158">
      <calculatedColumnFormula>$BT$36*AT38</calculatedColumnFormula>
    </tableColumn>
    <tableColumn id="6" xr3:uid="{F1ADAEAF-8DC2-4487-8E69-7BBC42B3482C}" name="2030" dataDxfId="157">
      <calculatedColumnFormula>-Dashboard!$E$16*SUM($AJ$7:$AO$7)*Dashboard!$H$16/6*$AA5</calculatedColumnFormula>
    </tableColumn>
    <tableColumn id="7" xr3:uid="{78011388-37D6-4D1B-A7D1-98D8C2B1B47F}" name="2031" dataDxfId="156">
      <calculatedColumnFormula>$BT$36*AV38</calculatedColumnFormula>
    </tableColumn>
    <tableColumn id="8" xr3:uid="{8A42F7FB-70D2-43A1-A8C2-1493BDE2C049}" name="2032" dataDxfId="155">
      <calculatedColumnFormula>$BT$36*AW38</calculatedColumnFormula>
    </tableColumn>
    <tableColumn id="9" xr3:uid="{937FC553-61A1-4530-AC10-725C8BC6C994}" name="2026-2032" dataDxfId="154">
      <calculatedColumnFormula>SUM(Table154[[#This Row],[2026]:[2032]])</calculatedColumnFormula>
    </tableColumn>
    <tableColumn id="10" xr3:uid="{9275CBD4-8257-4F1C-A444-76DE97953E53}" name="2027-2032" dataDxfId="153"/>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16BD6D6F-76DE-41A7-98AB-A9F797B398A2}" name="Table217" displayName="Table217" ref="W71:AF99" totalsRowShown="0" headerRowDxfId="152" dataDxfId="151" tableBorderDxfId="150">
  <autoFilter ref="W71:AF99" xr:uid="{16BD6D6F-76DE-41A7-98AB-A9F797B398A2}"/>
  <tableColumns count="10">
    <tableColumn id="1" xr3:uid="{14B2E59D-E53F-459C-93C3-CED0F9E731E2}" name="Column1" dataDxfId="149"/>
    <tableColumn id="2" xr3:uid="{28CDE3BE-1A3C-441D-93A7-A26611C6BCE7}" name="2026" dataDxfId="148"/>
    <tableColumn id="3" xr3:uid="{D33A1950-FD66-4648-A526-B3A2AAA9C381}" name="2027" dataDxfId="147"/>
    <tableColumn id="4" xr3:uid="{FB31E850-CDD5-40F8-A7A1-06AFBF2E6FC3}" name="2028" dataDxfId="146"/>
    <tableColumn id="5" xr3:uid="{2858FD44-1CE3-4309-AE78-C0BC2A963775}" name="2029" dataDxfId="145"/>
    <tableColumn id="6" xr3:uid="{50586BAB-437B-4763-8C2A-0B8455C60F3D}" name="2030" dataDxfId="144"/>
    <tableColumn id="7" xr3:uid="{CCEA0B7D-A5E1-4EED-BD0E-86A62C38F324}" name="2031" dataDxfId="143"/>
    <tableColumn id="8" xr3:uid="{DC600B22-2538-49E8-8190-A67738259BFD}" name="2032" dataDxfId="142"/>
    <tableColumn id="9" xr3:uid="{99CDEBCB-AEF2-4657-9AE9-EFE2EFA4B6E0}" name="2026-2032" dataDxfId="141">
      <calculatedColumnFormula>SUM(Table217[[#This Row],[2026]:[2032]])</calculatedColumnFormula>
    </tableColumn>
    <tableColumn id="10" xr3:uid="{A29DF57C-DF81-47F1-92B5-A9C0B2F554E7}" name="2027-2032" dataDxfId="140">
      <calculatedColumnFormula>SUM(Table217[[#This Row],[2027]:[2032]])</calculatedColumnFormula>
    </tableColumn>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A86D3F14-5996-4900-94D1-2A0F17F10499}" name="Table2111" displayName="Table2111" ref="AH102:AQ130" totalsRowShown="0" headerRowDxfId="139" dataDxfId="138" tableBorderDxfId="137">
  <autoFilter ref="AH102:AQ130" xr:uid="{A86D3F14-5996-4900-94D1-2A0F17F10499}"/>
  <tableColumns count="10">
    <tableColumn id="1" xr3:uid="{7F85C2C7-3C7A-427D-8EB9-70BC5F198646}" name="Column1" dataDxfId="136"/>
    <tableColumn id="2" xr3:uid="{6CECD057-10DE-4D1B-8506-6C505CC90608}" name="2026" dataDxfId="135"/>
    <tableColumn id="3" xr3:uid="{D3D3038D-669E-40B0-9015-2CA301946800}" name="2027" dataDxfId="134"/>
    <tableColumn id="4" xr3:uid="{35FB8B8C-3383-408F-99F3-53740A1F9417}" name="2028" dataDxfId="133"/>
    <tableColumn id="5" xr3:uid="{1B10BFB3-6C0D-40D8-A8F5-BCC513539739}" name="2029" dataDxfId="132"/>
    <tableColumn id="6" xr3:uid="{A6C83078-B175-4A25-AEA4-1A792795D1CF}" name="2030" dataDxfId="131"/>
    <tableColumn id="7" xr3:uid="{7887A2DB-5C4E-462D-9C35-90ED9C3638BC}" name="2031" dataDxfId="130"/>
    <tableColumn id="8" xr3:uid="{5A8FAB8C-6ABB-4CF7-92E0-4E921C94C6E4}" name="2032" dataDxfId="129"/>
    <tableColumn id="9" xr3:uid="{431C6410-DD6B-4393-ACB8-58F766C03BBC}" name="2026-2032" dataDxfId="128"/>
    <tableColumn id="10" xr3:uid="{E0D1257F-EB59-4923-A3CD-6DAB4FE21D22}" name="2027-2032" dataDxfId="127"/>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428A6AC0-40AA-4E1F-BD51-923A9A47D696}" name="Table2313" displayName="Table2313" ref="AR102:BA130" totalsRowShown="0" headerRowDxfId="126" dataDxfId="125" tableBorderDxfId="124">
  <autoFilter ref="AR102:BA130" xr:uid="{428A6AC0-40AA-4E1F-BD51-923A9A47D696}"/>
  <tableColumns count="10">
    <tableColumn id="1" xr3:uid="{56D6EE35-D411-4D7B-BBCD-87037E7EAB91}" name="Column1" dataDxfId="123"/>
    <tableColumn id="2" xr3:uid="{82FCACB1-F1B5-48FA-A24E-BADA49C44528}" name="2026" dataDxfId="122"/>
    <tableColumn id="3" xr3:uid="{029791E3-9490-4248-BA75-1BE47B0D929C}" name="2027" dataDxfId="121"/>
    <tableColumn id="4" xr3:uid="{C359F8C8-7CF7-4286-99A1-F3A51D933F72}" name="2028" dataDxfId="120"/>
    <tableColumn id="5" xr3:uid="{5078AF59-68D0-443C-BE8C-FEE440853AF5}" name="2029" dataDxfId="119"/>
    <tableColumn id="6" xr3:uid="{2AE3368C-1891-4CA2-AAC9-93090A4164E2}" name="2030" dataDxfId="118"/>
    <tableColumn id="7" xr3:uid="{2D4F893F-6D2A-4317-ACD8-6A632788C7DA}" name="2031" dataDxfId="117"/>
    <tableColumn id="8" xr3:uid="{9C3080A2-1697-4F89-B2BC-37EE78A3FED0}" name="2032" dataDxfId="116"/>
    <tableColumn id="9" xr3:uid="{39D2A731-51FE-43D1-8E26-DCBEACC8B641}" name="2026-2032" dataDxfId="115"/>
    <tableColumn id="10" xr3:uid="{BDD0BEF7-95C7-4BE0-8DCB-B9D07E048D3F}" name="2027-2032" dataDxfId="114"/>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2D328844-9DAA-4441-A9A3-A7788082C80D}" name="Table2515" displayName="Table2515" ref="BB102:BK130" totalsRowShown="0" headerRowDxfId="113" dataDxfId="112" tableBorderDxfId="111">
  <autoFilter ref="BB102:BK130" xr:uid="{2D328844-9DAA-4441-A9A3-A7788082C80D}"/>
  <tableColumns count="10">
    <tableColumn id="1" xr3:uid="{DEF93BE0-1DBF-405F-8740-C5FA99AB6F05}" name="Column1" dataDxfId="110"/>
    <tableColumn id="2" xr3:uid="{5A05E31F-3694-4EAF-9422-293480E4C7EA}" name="2026" dataDxfId="109">
      <calculatedColumnFormula>(AQ38+BW38)/($N5*$P5)</calculatedColumnFormula>
    </tableColumn>
    <tableColumn id="3" xr3:uid="{8073425D-4138-438A-9217-D242E3A5ACF4}" name="2027" dataDxfId="108">
      <calculatedColumnFormula>(AR38+BX38)/($N5*$P5)</calculatedColumnFormula>
    </tableColumn>
    <tableColumn id="4" xr3:uid="{E6EE0D65-CD76-4A71-94FA-D996C33FB9E4}" name="2028" dataDxfId="107">
      <calculatedColumnFormula>(AS38+BY38)/($N5*$P5)</calculatedColumnFormula>
    </tableColumn>
    <tableColumn id="5" xr3:uid="{000AC43B-3E75-4011-9BAC-F8BE470E730F}" name="2029" dataDxfId="106">
      <calculatedColumnFormula>(AT38+BZ38)/($N5*$P5)</calculatedColumnFormula>
    </tableColumn>
    <tableColumn id="6" xr3:uid="{1785A694-602C-42C2-AFEE-40CA839B01A5}" name="2030" dataDxfId="105">
      <calculatedColumnFormula>(AU38+CA38)/($N5*$P5)</calculatedColumnFormula>
    </tableColumn>
    <tableColumn id="7" xr3:uid="{645BE9FD-D0BC-469B-8A69-E9BDA403416B}" name="2031" dataDxfId="104">
      <calculatedColumnFormula>(AV38+CB38)/($N5*$P5)</calculatedColumnFormula>
    </tableColumn>
    <tableColumn id="8" xr3:uid="{6903DE06-E1E8-46CB-ABC9-8ED274C6263D}" name="2032" dataDxfId="103">
      <calculatedColumnFormula>(AW38+CC38)/($N5*$P5)</calculatedColumnFormula>
    </tableColumn>
    <tableColumn id="9" xr3:uid="{2C249A84-EA4A-4DB9-8383-081EEA30B7F8}" name="2026-2032" dataDxfId="102"/>
    <tableColumn id="10" xr3:uid="{4025514D-8D71-4709-8796-1EFB32D23A0E}" name="2027-2032" dataDxfId="101"/>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81540B4A-9A81-48BB-A3F9-7C2358C1B5A7}" name="Table15419" displayName="Table15419" ref="CF37:CO65" totalsRowShown="0" headerRowDxfId="100" dataDxfId="98" headerRowBorderDxfId="99" tableBorderDxfId="97">
  <autoFilter ref="CF37:CO65" xr:uid="{81540B4A-9A81-48BB-A3F9-7C2358C1B5A7}"/>
  <tableColumns count="10">
    <tableColumn id="1" xr3:uid="{8196FD91-37D0-42BE-B35B-11E7D9B391A2}" name="Column1" dataDxfId="96"/>
    <tableColumn id="2" xr3:uid="{BDCA58BB-A5E6-4753-A9D5-B996A635E50A}" name="2026" dataDxfId="95">
      <calculatedColumnFormula>BA38+BW38</calculatedColumnFormula>
    </tableColumn>
    <tableColumn id="3" xr3:uid="{5EE9EC27-B6A3-4195-BDA1-85EE0AB48D26}" name="2027" dataDxfId="94">
      <calculatedColumnFormula>Table9[[#This Row],[2027]]+Table11[[#This Row],[2027]]+Table154[[#This Row],[2027]]</calculatedColumnFormula>
    </tableColumn>
    <tableColumn id="4" xr3:uid="{53996DB1-390C-4969-A83A-AC5AE133CDCE}" name="2028" dataDxfId="93">
      <calculatedColumnFormula>BC38+BY38</calculatedColumnFormula>
    </tableColumn>
    <tableColumn id="5" xr3:uid="{AAA2CF30-D341-4667-8BEB-96409D50D2BE}" name="2029" dataDxfId="92">
      <calculatedColumnFormula>BD38+BZ38</calculatedColumnFormula>
    </tableColumn>
    <tableColumn id="6" xr3:uid="{D4D82253-EC28-4572-A4D9-B7208194EE04}" name="2030" dataDxfId="91">
      <calculatedColumnFormula>BE38+CA38</calculatedColumnFormula>
    </tableColumn>
    <tableColumn id="7" xr3:uid="{BCD4F141-6F9C-4DDC-B102-469058FE9324}" name="2031" dataDxfId="90">
      <calculatedColumnFormula>BF38+CB38</calculatedColumnFormula>
    </tableColumn>
    <tableColumn id="8" xr3:uid="{127AAD92-7281-4E9A-8CF6-46068F54AEB5}" name="2032" dataDxfId="89">
      <calculatedColumnFormula>BG38+CC38</calculatedColumnFormula>
    </tableColumn>
    <tableColumn id="9" xr3:uid="{4C7ADF0E-ADA2-411B-87DD-B7235935D1EF}" name="2026-2032" dataDxfId="88"/>
    <tableColumn id="10" xr3:uid="{5A46C356-210F-449A-BD93-9A1901EE1DEB}" name="2027-2032" dataDxfId="87"/>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34AD4AAB-CD0F-49BE-9324-FDD2182D9CE7}" name="Table211123" displayName="Table211123" ref="K5:T33" totalsRowShown="0" headerRowDxfId="86" dataDxfId="85" tableBorderDxfId="84">
  <autoFilter ref="K5:T33" xr:uid="{34AD4AAB-CD0F-49BE-9324-FDD2182D9CE7}"/>
  <tableColumns count="10">
    <tableColumn id="1" xr3:uid="{8CF76FE2-DB8F-4A9A-A932-B6DAD5CFCAEF}" name="Country" dataDxfId="83"/>
    <tableColumn id="2" xr3:uid="{FF79F23D-4A52-4D84-B948-1BA92C5627E2}" name="2026" dataDxfId="82">
      <calculatedColumnFormula>Dashboard!$C$26*Revenues!N5*Dashboard!#REF!</calculatedColumnFormula>
    </tableColumn>
    <tableColumn id="3" xr3:uid="{5F93C492-23E3-44C1-9A89-BE54E6C79D50}" name="2027" dataDxfId="81"/>
    <tableColumn id="4" xr3:uid="{7AD66360-A5FC-434C-9356-DC339E76304B}" name="2028" dataDxfId="80"/>
    <tableColumn id="5" xr3:uid="{C1BF8A60-4927-4F3D-A759-D033972CBD50}" name="2029" dataDxfId="79"/>
    <tableColumn id="6" xr3:uid="{0AAA1709-2293-417E-BF76-1A2705248DE4}" name="2030" dataDxfId="78"/>
    <tableColumn id="7" xr3:uid="{99A7ACBA-F524-4A80-9470-6B6AD9F1F940}" name="2031" dataDxfId="77"/>
    <tableColumn id="8" xr3:uid="{C3793408-6BA8-4F95-AFE2-1A8460802F3F}" name="2032" dataDxfId="76"/>
    <tableColumn id="9" xr3:uid="{6799FCCD-F057-4C27-8C96-DDC4F4A91D19}" name="2026-2032" dataDxfId="75">
      <calculatedColumnFormula>SUM(Table211123[[#This Row],[2026]:[2032]])</calculatedColumnFormula>
    </tableColumn>
    <tableColumn id="10" xr3:uid="{DBE600A2-31E0-4CF0-9867-F685DD082E86}" name="2027-2032" dataDxfId="7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5D4189D-9F8C-4C8A-87B7-67D3944A2099}" name="Table5" displayName="Table5" ref="L37:U65" totalsRowShown="0" headerRowDxfId="315" dataDxfId="313" headerRowBorderDxfId="314" tableBorderDxfId="312">
  <autoFilter ref="L37:U65" xr:uid="{C5D4189D-9F8C-4C8A-87B7-67D3944A2099}"/>
  <tableColumns count="10">
    <tableColumn id="1" xr3:uid="{A578B358-6708-4769-B329-D629B4623AED}" name="Column1" dataDxfId="311"/>
    <tableColumn id="2" xr3:uid="{1519B153-56DE-407D-9FA1-3B660DFEBCDF}" name="2026" dataDxfId="310"/>
    <tableColumn id="3" xr3:uid="{2C850BF6-E38B-4289-BF1E-D063AAE9A3FF}" name="2027" dataDxfId="309"/>
    <tableColumn id="4" xr3:uid="{130903AC-551A-48E5-B20A-84632C924F5B}" name="2028" dataDxfId="308"/>
    <tableColumn id="5" xr3:uid="{DB26257F-500B-49B6-994E-D5E3E0FB8966}" name="2029" dataDxfId="307"/>
    <tableColumn id="6" xr3:uid="{2E13CAB1-63D3-427B-BF8B-3895AF29B9C4}" name="2030" dataDxfId="306"/>
    <tableColumn id="7" xr3:uid="{BF852DD2-1759-4C46-A191-62D98026717B}" name="2031" dataDxfId="305"/>
    <tableColumn id="8" xr3:uid="{4C029DDD-853A-432E-BA37-B8CE56EDCE68}" name="2032" dataDxfId="304"/>
    <tableColumn id="9" xr3:uid="{83010B75-949F-4E47-8AAE-BF351B09AAD3}" name="2026-2032" dataDxfId="303"/>
    <tableColumn id="10" xr3:uid="{31F72C82-6879-4102-8525-EECE7E3FD11D}" name="2027-2032" dataDxfId="302"/>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CC2FC31-4938-479A-8143-3A15BCA1859F}" name="Table21112325" displayName="Table21112325" ref="U5:AD33" totalsRowShown="0" headerRowDxfId="73" dataDxfId="72" tableBorderDxfId="71">
  <autoFilter ref="U5:AD33" xr:uid="{0CC2FC31-4938-479A-8143-3A15BCA1859F}"/>
  <tableColumns count="10">
    <tableColumn id="1" xr3:uid="{33DBA51E-6541-468E-BDC1-FE02FACB9A13}" name="Country" dataDxfId="70"/>
    <tableColumn id="2" xr3:uid="{993AFA62-84B5-4143-AC88-780EFC5692EA}" name="2026" dataDxfId="69">
      <calculatedColumnFormula>Dashboard!$C$26*Revenues!Z5*Dashboard!#REF!</calculatedColumnFormula>
    </tableColumn>
    <tableColumn id="3" xr3:uid="{C3F2CE04-31BC-445E-B1F9-17E706DFFDEA}" name="2027" dataDxfId="68"/>
    <tableColumn id="4" xr3:uid="{565D9BF1-7EB4-4938-9E12-F5A798CCB7F9}" name="2028" dataDxfId="67"/>
    <tableColumn id="5" xr3:uid="{AFB6A642-BE39-4BE5-9ECB-BE91ABFEEBF5}" name="2029" dataDxfId="66"/>
    <tableColumn id="6" xr3:uid="{9A7C1C4C-E7F4-4D11-A027-D81FABA2DA6D}" name="2030" dataDxfId="65"/>
    <tableColumn id="7" xr3:uid="{0587ADED-1C01-4FD5-A4C4-7DCB159BE8B5}" name="2031" dataDxfId="64"/>
    <tableColumn id="8" xr3:uid="{C466E4B4-201B-4640-8889-81EA5DA7EB64}" name="2032" dataDxfId="63"/>
    <tableColumn id="9" xr3:uid="{23CBF7CC-67CB-4341-9314-678DD0BEC3F4}" name="2026-2032" dataDxfId="62">
      <calculatedColumnFormula>SUM(Table21112325[[#This Row],[2026]:[2032]])</calculatedColumnFormula>
    </tableColumn>
    <tableColumn id="10" xr3:uid="{8930D2C6-F143-497B-965B-81E7C1901725}" name="2027-2032" dataDxfId="61"/>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8C17328-8953-47C3-95CC-3AB2326B4A24}" name="Table21112327" displayName="Table21112327" ref="A5:J33" totalsRowShown="0" headerRowDxfId="60" dataDxfId="59" tableBorderDxfId="58">
  <autoFilter ref="A5:J33" xr:uid="{08C17328-8953-47C3-95CC-3AB2326B4A24}"/>
  <tableColumns count="10">
    <tableColumn id="1" xr3:uid="{47C90FC0-235D-434A-AB26-7ACE5CBA0625}" name="Country" dataDxfId="57"/>
    <tableColumn id="2" xr3:uid="{1680A7D1-429A-4535-BEB7-42F771EA6CD3}" name="2026" dataDxfId="56">
      <calculatedColumnFormula>Dashboard!$C$26*Revenues!D5*Dashboard!#REF!</calculatedColumnFormula>
    </tableColumn>
    <tableColumn id="3" xr3:uid="{D30A2CAA-DA6F-4F8C-AB71-AC9A340AFC84}" name="2027" dataDxfId="55"/>
    <tableColumn id="4" xr3:uid="{A0A7DEA8-BB1D-4944-964A-56D8E6BB5BBA}" name="2028" dataDxfId="54"/>
    <tableColumn id="5" xr3:uid="{743BFDE6-D850-46CA-BEC5-1C0C3E3D3590}" name="2029" dataDxfId="53"/>
    <tableColumn id="6" xr3:uid="{4AAA9253-807A-4508-AD73-51ADE4DAC2A1}" name="2030" dataDxfId="52"/>
    <tableColumn id="7" xr3:uid="{C45B3D72-FFFD-499D-9B9D-9162A7976D39}" name="2031" dataDxfId="51"/>
    <tableColumn id="8" xr3:uid="{F05A728C-3F10-4D9D-9ACA-01D90E94098A}" name="2032" dataDxfId="50"/>
    <tableColumn id="9" xr3:uid="{F1397F49-0CC0-4207-82AE-F0E38547B6D3}" name="2026-2032" dataDxfId="49">
      <calculatedColumnFormula>SUM(Table21112327[[#This Row],[2026]:[2032]])</calculatedColumnFormula>
    </tableColumn>
    <tableColumn id="10" xr3:uid="{5D53AA51-7A2A-455A-A7EE-B88625856C0A}" name="2027-2032" dataDxfId="48"/>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43E68E0-A36C-45F4-BBA4-DF2C149678AA}" name="Tabelle8" displayName="Tabelle8" ref="AE5:AO33" totalsRowShown="0">
  <autoFilter ref="AE5:AO33" xr:uid="{643E68E0-A36C-45F4-BBA4-DF2C149678AA}"/>
  <tableColumns count="11">
    <tableColumn id="1" xr3:uid="{CEEEBD89-9BC5-4DA9-B96E-1DBD38ED9D04}" name="Country" dataDxfId="47"/>
    <tableColumn id="2" xr3:uid="{8907FBEE-CF59-4814-BDE3-7C7E2C473556}" name="2026" dataDxfId="46"/>
    <tableColumn id="3" xr3:uid="{D01156D3-44EE-4929-92BC-99C55AD0410D}" name="2027" dataDxfId="45"/>
    <tableColumn id="4" xr3:uid="{CF3404A7-A71C-4787-A3F3-F8626B51961A}" name="2028" dataDxfId="44"/>
    <tableColumn id="5" xr3:uid="{75C8B3BB-8FFA-44AD-9726-77F4BD93FAF1}" name="2029" dataDxfId="43"/>
    <tableColumn id="6" xr3:uid="{997DABEB-20B0-429B-93AE-DD0F2FDD1870}" name="2030" dataDxfId="42"/>
    <tableColumn id="7" xr3:uid="{001F934C-5370-493C-9586-A79C66EAAD34}" name="2031" dataDxfId="41"/>
    <tableColumn id="8" xr3:uid="{4504A538-963B-426A-9702-E50CD6F48D11}" name="2032" dataDxfId="40"/>
    <tableColumn id="9" xr3:uid="{F07AE6D2-8B29-423F-B06E-FBE374511ACA}" name="2033"/>
    <tableColumn id="10" xr3:uid="{23D74FC4-2AF0-486D-A57F-E204E91006A7}" name="2034"/>
    <tableColumn id="11" xr3:uid="{938F1CED-3535-42B7-A8F9-5C7DFD2E0247}" name="2035"/>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9C356ED-DE01-4EA6-A213-5D7123B39D2F}" name="Tabelle16" displayName="Tabelle16" ref="K39:R68" totalsRowShown="0" headerRowDxfId="39" tableBorderDxfId="38">
  <autoFilter ref="K39:R68" xr:uid="{D9C356ED-DE01-4EA6-A213-5D7123B39D2F}"/>
  <tableColumns count="8">
    <tableColumn id="1" xr3:uid="{357B85FD-E0F9-49E7-9C18-5A3E6EFFADE2}" name="Country" dataDxfId="37"/>
    <tableColumn id="2" xr3:uid="{051036DD-42F0-435B-92F4-804D4DE93644}" name="2026"/>
    <tableColumn id="3" xr3:uid="{4AE6B8FA-EC6E-47A2-A25E-0C4DE8817CD8}" name="2027"/>
    <tableColumn id="4" xr3:uid="{35875B6C-CE0B-41ED-AF62-C76248106FFB}" name="2028"/>
    <tableColumn id="5" xr3:uid="{19D2DEF7-513A-4790-A2FA-1C1CC97925B3}" name="2029"/>
    <tableColumn id="6" xr3:uid="{A05C1AF9-F416-4252-83D0-F0B2256A22DA}" name="2030"/>
    <tableColumn id="7" xr3:uid="{FB74B0DB-23B2-4037-96D2-0E3517EF38B5}" name="2031"/>
    <tableColumn id="8" xr3:uid="{35DFB05C-3D55-4678-A5F9-F824B957F407}" name="2032"/>
  </tableColumns>
  <tableStyleInfo name="TableStyleLight9"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38CBBFC-0DE8-4CA5-9FF3-0C96D3374FD0}" name="Table4" displayName="Table4" ref="A39:H67" totalsRowShown="0" headerRowDxfId="36" dataDxfId="35" dataCellStyle="Comma 3">
  <autoFilter ref="A39:H67" xr:uid="{038CBBFC-0DE8-4CA5-9FF3-0C96D3374FD0}"/>
  <tableColumns count="8">
    <tableColumn id="1" xr3:uid="{5630CBD0-5CA3-4433-BEA7-228DB31966E2}" name="Country" dataDxfId="34"/>
    <tableColumn id="2" xr3:uid="{87ECE6B1-7584-4AC8-A347-96AA12F2B124}" name="2026" dataDxfId="33" dataCellStyle="Comma 3"/>
    <tableColumn id="3" xr3:uid="{EF8B8C57-C46B-47E1-9397-9BB78FCA3599}" name="2027" dataDxfId="32" dataCellStyle="Comma 3"/>
    <tableColumn id="4" xr3:uid="{CBCCDD17-D4F8-417B-98FD-91BE5D93CDEE}" name="2028" dataDxfId="31" dataCellStyle="Comma 3"/>
    <tableColumn id="5" xr3:uid="{AE397261-7604-44D6-B572-5788D26A1D0A}" name="2029" dataDxfId="30" dataCellStyle="Comma 3"/>
    <tableColumn id="6" xr3:uid="{DBBF7055-B727-4E36-ADD4-FCC9ADB55E73}" name="2030" dataDxfId="29" dataCellStyle="Comma 3"/>
    <tableColumn id="7" xr3:uid="{F6E7F2FB-1250-4D2C-9117-18A727CC15E9}" name="2031" dataDxfId="28" dataCellStyle="Comma 3"/>
    <tableColumn id="8" xr3:uid="{A980C4EA-88D7-45DC-8A21-76612D1C6D6C}" name="2032" dataDxfId="27" dataCellStyle="Comma 3"/>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48D73549-4382-4092-9ABB-52AD384C0AF4}" name="Tabelle828" displayName="Tabelle828" ref="AP5:AZ33" totalsRowShown="0">
  <autoFilter ref="AP5:AZ33" xr:uid="{48D73549-4382-4092-9ABB-52AD384C0AF4}"/>
  <tableColumns count="11">
    <tableColumn id="1" xr3:uid="{7088EBA9-C7F7-439F-AADF-E86E6E86F12F}" name="Country" dataDxfId="26"/>
    <tableColumn id="2" xr3:uid="{42084B9F-A180-4D72-8292-A552C3833C25}" name="2026" dataDxfId="25" dataCellStyle="Comma">
      <calculatedColumnFormula>Tabelle8[[#This Row],[2026]]/1000000</calculatedColumnFormula>
    </tableColumn>
    <tableColumn id="3" xr3:uid="{E4D1F6D6-EE1A-4EB8-950F-2E2B4F53915A}" name="2027" dataDxfId="24" dataCellStyle="Comma">
      <calculatedColumnFormula>Tabelle8[[#This Row],[2027]]/1000000</calculatedColumnFormula>
    </tableColumn>
    <tableColumn id="4" xr3:uid="{F75990A2-6D32-4D8C-B068-781FEDA9330F}" name="2028" dataDxfId="23" dataCellStyle="Comma">
      <calculatedColumnFormula>Tabelle8[[#This Row],[2028]]/1000000</calculatedColumnFormula>
    </tableColumn>
    <tableColumn id="5" xr3:uid="{C0E42911-1519-4134-8AFF-8B0F943518DF}" name="2029" dataDxfId="22" dataCellStyle="Comma">
      <calculatedColumnFormula>Tabelle8[[#This Row],[2029]]/1000000</calculatedColumnFormula>
    </tableColumn>
    <tableColumn id="6" xr3:uid="{735090F6-A74A-459E-8F36-A4815337F376}" name="2030" dataDxfId="21" dataCellStyle="Comma">
      <calculatedColumnFormula>Tabelle8[[#This Row],[2030]]/1000000</calculatedColumnFormula>
    </tableColumn>
    <tableColumn id="7" xr3:uid="{8004A39B-069D-481D-B3D3-0F43CB7F776E}" name="2031" dataDxfId="20" dataCellStyle="Comma">
      <calculatedColumnFormula>Tabelle8[[#This Row],[2031]]/1000000</calculatedColumnFormula>
    </tableColumn>
    <tableColumn id="8" xr3:uid="{72483683-F258-4AB9-A25D-F178C7791D77}" name="2032" dataDxfId="19" dataCellStyle="Comma">
      <calculatedColumnFormula>Tabelle8[[#This Row],[2032]]/1000000</calculatedColumnFormula>
    </tableColumn>
    <tableColumn id="9" xr3:uid="{13E6B02C-F4F3-41E8-B7B9-482AD7E9336B}" name="2033">
      <calculatedColumnFormula>Tabelle8[[#This Row],[2033]]/1000000</calculatedColumnFormula>
    </tableColumn>
    <tableColumn id="10" xr3:uid="{D013E46F-D3FA-44FA-93E5-8B1B8401BEAE}" name="2034">
      <calculatedColumnFormula>Tabelle8[[#This Row],[2034]]/1000000</calculatedColumnFormula>
    </tableColumn>
    <tableColumn id="11" xr3:uid="{EFEB68B0-D54E-4B91-8415-57C019AFF2AA}" name="2035">
      <calculatedColumnFormula>Tabelle8[[#This Row],[2035]]/1000000</calculatedColumnFormula>
    </tableColumn>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A3CA0FEF-ED71-4426-9502-EBD47F2D48E5}" name="Table21112321" displayName="Table21112321" ref="BA5:BJ33" totalsRowShown="0" headerRowDxfId="18" dataDxfId="17" tableBorderDxfId="16">
  <autoFilter ref="BA5:BJ33" xr:uid="{A3CA0FEF-ED71-4426-9502-EBD47F2D48E5}"/>
  <tableColumns count="10">
    <tableColumn id="1" xr3:uid="{7B207E3D-AF70-4B2E-9287-474033E02CD6}" name="Country" dataDxfId="15"/>
    <tableColumn id="2" xr3:uid="{35B56B03-AEDB-410E-814B-8BB45029A22B}" name="2026" dataDxfId="14">
      <calculatedColumnFormula>Dashboard!$C$26*Revenues!#REF!*Dashboard!#REF!</calculatedColumnFormula>
    </tableColumn>
    <tableColumn id="3" xr3:uid="{2065D40C-795B-482A-8A9F-61B4746CEF92}" name="2027" dataDxfId="13"/>
    <tableColumn id="4" xr3:uid="{4BD6598C-5899-4A4A-B8C3-848ACFCDBCC5}" name="2028" dataDxfId="12"/>
    <tableColumn id="5" xr3:uid="{367FC5DF-A974-4818-B5CF-6AAF4931923E}" name="2029" dataDxfId="11"/>
    <tableColumn id="6" xr3:uid="{1490D3A1-9823-42D5-9842-720756DD43D7}" name="2030" dataDxfId="10"/>
    <tableColumn id="7" xr3:uid="{2951AE22-D2D9-471D-825B-A6112F68A521}" name="2031" dataDxfId="9"/>
    <tableColumn id="8" xr3:uid="{3E2863F0-5EE3-4694-9415-AF06FAB91BC3}" name="2032" dataDxfId="8"/>
    <tableColumn id="9" xr3:uid="{1FFC7EEE-A5EB-46FC-BC43-4BE439B9F719}" name="2026-2032" dataDxfId="7">
      <calculatedColumnFormula>SUM(Table21112321[[#This Row],[2026]:[2032]])</calculatedColumnFormula>
    </tableColumn>
    <tableColumn id="10" xr3:uid="{C94F2675-65A2-4E1C-A33E-D72BF73896EA}" name="2027-2032" dataDxfId="6"/>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FA0F4B30-C52E-4920-B41E-4B2B2F4838A8}" name="Append2" displayName="Append2" ref="A1:Y5043" tableType="queryTable" totalsRowShown="0">
  <autoFilter ref="A1:Y5043" xr:uid="{FA0F4B30-C52E-4920-B41E-4B2B2F4838A8}"/>
  <tableColumns count="25">
    <tableColumn id="1" xr3:uid="{4B0A2BB1-A346-4B21-97D7-002B7ED97815}" uniqueName="1" name="Country" queryTableFieldId="1" dataDxfId="2"/>
    <tableColumn id="2" xr3:uid="{A58AE5A1-565B-4AAE-8595-BBD00B5747C3}" uniqueName="2" name="Year" queryTableFieldId="2" dataDxfId="1"/>
    <tableColumn id="3" xr3:uid="{12D0C059-F499-4717-B767-EB47CB6823FE}" uniqueName="3" name="SCF revenues" queryTableFieldId="3"/>
    <tableColumn id="4" xr3:uid="{12137902-5175-4830-93CA-1F834E2AA362}" uniqueName="4" name="ETS2 auction revenues outide SCF" queryTableFieldId="4"/>
    <tableColumn id="14" xr3:uid="{74A63B15-DE96-4FD1-B23D-BB157E1B21EE}" uniqueName="14" name="Min. own contribution to expenses by MS to SCF" queryTableFieldId="14"/>
    <tableColumn id="13" xr3:uid="{59570152-C60B-4513-8759-6667A49D9BD6}" uniqueName="13" name="Total SCF incl. own contribution" queryTableFieldId="13"/>
    <tableColumn id="12" xr3:uid="{4D584268-3237-4F56-BA7F-A16FE82C7279}" uniqueName="12" name="Rest of ETS2 revenues after own contribution" queryTableFieldId="12"/>
    <tableColumn id="11" xr3:uid="{8E361BA3-2E3E-4639-AD59-7C6CA75B4DC7}" uniqueName="11" name="Total ETS2 + SCF revenues" queryTableFieldId="11"/>
    <tableColumn id="10" xr3:uid="{49C8C587-6301-4447-8F66-FCDA7ACB8DFA}" uniqueName="10" name="Max direct redistribution in SCF" queryTableFieldId="10"/>
    <tableColumn id="9" xr3:uid="{D9E45236-E6A9-4D4D-B348-01C32E739B83}" uniqueName="9" name="Total SCF incl. own contribution per capita" queryTableFieldId="9"/>
    <tableColumn id="8" xr3:uid="{10C28F6D-4D59-4676-AAFC-3D43E746E3FF}" uniqueName="8" name="Rest of ETS2 revenues after own contribution per capita" queryTableFieldId="8"/>
    <tableColumn id="7" xr3:uid="{9817E1D9-6244-42C0-81BF-94F2F4E6618B}" uniqueName="7" name="Maximum direct redistribution in SCF per capita" queryTableFieldId="7"/>
    <tableColumn id="6" xr3:uid="{453B67EE-A7A6-41C6-BC9B-36D385C60112}" uniqueName="6" name="Max redistribution per capita - lower income households" queryTableFieldId="6"/>
    <tableColumn id="5" xr3:uid="{280810BB-DE0E-47B7-BD28-6DB2C67E7CD0}" uniqueName="5" name="Max redistribution to pop at risk of poverty" queryTableFieldId="5"/>
    <tableColumn id="15" xr3:uid="{3D6651C4-9FA3-4456-BC21-009324EE3DC9}" uniqueName="15" name="Frontloading" queryTableFieldId="24"/>
    <tableColumn id="16" xr3:uid="{D7DC0271-5331-4FE4-8EA8-EA287855A175}" uniqueName="16" name="Frontloading per cap" queryTableFieldId="25"/>
    <tableColumn id="17" xr3:uid="{603A6110-DE2B-4F4D-A514-AC298AD69DE0}" uniqueName="17" name="DIS per cap" queryTableFieldId="41"/>
    <tableColumn id="18" xr3:uid="{F777DB51-561C-46CE-86B1-E77B41E6DB7E}" uniqueName="18" name="All revenues Per cap low" queryTableFieldId="27"/>
    <tableColumn id="19" xr3:uid="{6C1730BC-868E-478B-BC93-2B10C81C6DCC}" uniqueName="19" name="All revenues per cap poverty" queryTableFieldId="28"/>
    <tableColumn id="20" xr3:uid="{71244BAA-EC25-4BB8-ACFA-065C80992296}" uniqueName="20" name="Revenue" queryTableFieldId="29"/>
    <tableColumn id="21" xr3:uid="{8EE9A4EE-A794-48F0-8CDF-8D1BB6509BB3}" uniqueName="21" name="Direct Income Support" queryTableFieldId="42"/>
    <tableColumn id="22" xr3:uid="{4B199D40-E121-4137-BDFB-66668DC64889}" uniqueName="22" name="SocialEV" queryTableFieldId="31"/>
    <tableColumn id="31" xr3:uid="{A2BD56B0-ECFC-4A28-90CC-6B20D93669BD}" uniqueName="31" name="SocialLeasing HP" queryTableFieldId="43"/>
    <tableColumn id="23" xr3:uid="{5B33C75F-FA1F-43F1-888D-9D568A856670}" uniqueName="23" name="ETS2Rest+FL+Own" queryTableFieldId="46"/>
    <tableColumn id="24" xr3:uid="{09CC7346-E4D2-45B9-BDB1-628323037756}" uniqueName="24" name="DIS-capita-adjust" queryTableFieldId="47"/>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399D21F-30A8-4EAF-883E-B8D72FC26A85}" name="Table7" displayName="Table7" ref="V37:AE65" totalsRowShown="0" headerRowDxfId="301" dataDxfId="299" headerRowBorderDxfId="300" tableBorderDxfId="298">
  <autoFilter ref="V37:AE65" xr:uid="{1399D21F-30A8-4EAF-883E-B8D72FC26A85}"/>
  <tableColumns count="10">
    <tableColumn id="1" xr3:uid="{7C74B7D7-133F-496C-8EC9-ABA92200CECE}" name="Column1"/>
    <tableColumn id="2" xr3:uid="{F943D361-BCCB-480D-9F38-114612A6D800}" name="2026" dataDxfId="297"/>
    <tableColumn id="3" xr3:uid="{4E7D9272-FE7A-4E9C-A157-84689DEB4B4E}" name="2027" dataDxfId="296"/>
    <tableColumn id="4" xr3:uid="{98FC3B56-9294-48ED-B843-2818C5F60612}" name="2028" dataDxfId="295"/>
    <tableColumn id="5" xr3:uid="{2DEBCED6-0B19-4785-AFDB-C34295FFF080}" name="2029" dataDxfId="294"/>
    <tableColumn id="6" xr3:uid="{1936E013-4F3A-45CD-BDD8-5E56DDB61FE6}" name="2030" dataDxfId="293"/>
    <tableColumn id="7" xr3:uid="{F1DC4005-7BB1-49DA-80EA-6A82D6381874}" name="2031" dataDxfId="292"/>
    <tableColumn id="8" xr3:uid="{6B2DFA3E-959A-41E0-95F4-0ECD5A1E8AF7}" name="2032" dataDxfId="291"/>
    <tableColumn id="9" xr3:uid="{32206CCA-C9E8-4267-B6F3-882ADEC82973}" name="2026-2032" dataDxfId="290"/>
    <tableColumn id="10" xr3:uid="{A0B2E187-03F3-464B-891D-C0092C42C32D}" name="2027-2032" dataDxfId="28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B21C1CF3-C421-4488-AC97-532242FAC00A}" name="Table9" displayName="Table9" ref="AF37:AO65" totalsRowShown="0" headerRowDxfId="288" dataDxfId="286" headerRowBorderDxfId="287" tableBorderDxfId="285">
  <autoFilter ref="AF37:AO65" xr:uid="{B21C1CF3-C421-4488-AC97-532242FAC00A}"/>
  <tableColumns count="10">
    <tableColumn id="1" xr3:uid="{EBA5F160-74C7-49DD-ABB6-DB14AB3908A3}" name="Column1" dataDxfId="284"/>
    <tableColumn id="2" xr3:uid="{AB2EA60B-2BEA-4441-AB0E-73409836D4AC}" name="2026" dataDxfId="283">
      <calculatedColumnFormula>C38+W38</calculatedColumnFormula>
    </tableColumn>
    <tableColumn id="3" xr3:uid="{97D03B71-B7C7-4F91-AB61-D2E98443DC8B}" name="2027" dataDxfId="282">
      <calculatedColumnFormula>X38+D38</calculatedColumnFormula>
    </tableColumn>
    <tableColumn id="4" xr3:uid="{5DC27479-35BF-4751-BAA5-6C50974C06A0}" name="2028" dataDxfId="281">
      <calculatedColumnFormula>Y38+E38</calculatedColumnFormula>
    </tableColumn>
    <tableColumn id="5" xr3:uid="{2D616B7E-9CA1-46B6-9AE3-A226BEB38C9F}" name="2029" dataDxfId="280">
      <calculatedColumnFormula>Z38+F38</calculatedColumnFormula>
    </tableColumn>
    <tableColumn id="6" xr3:uid="{CE40DFEA-129E-42D0-A3B2-E162BF91712B}" name="2030" dataDxfId="279">
      <calculatedColumnFormula>AA38+G38</calculatedColumnFormula>
    </tableColumn>
    <tableColumn id="7" xr3:uid="{4F5065B3-4617-496A-BE2B-63C3AA70F210}" name="2031" dataDxfId="278">
      <calculatedColumnFormula>AB38+H38</calculatedColumnFormula>
    </tableColumn>
    <tableColumn id="8" xr3:uid="{11C35BC2-0B60-4396-BEF6-D3AAEE1A2650}" name="2032" dataDxfId="277">
      <calculatedColumnFormula>AC38+I38</calculatedColumnFormula>
    </tableColumn>
    <tableColumn id="9" xr3:uid="{198D5956-61D2-47EF-AE60-B359CDE10E14}" name="2026-2032" dataDxfId="276"/>
    <tableColumn id="10" xr3:uid="{14EA530D-4332-433B-AE4E-83EF06F47867}" name="2027-2032" dataDxfId="275"/>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C1861970-3B27-4710-B0BF-DD017B5F814F}" name="Table11" displayName="Table11" ref="AP37:AY65" totalsRowShown="0" headerRowDxfId="274" dataDxfId="272" headerRowBorderDxfId="273" tableBorderDxfId="271">
  <autoFilter ref="AP37:AY65" xr:uid="{C1861970-3B27-4710-B0BF-DD017B5F814F}"/>
  <tableColumns count="10">
    <tableColumn id="1" xr3:uid="{7AB71CEE-7BBC-4C08-8CA3-1C74505CF05C}" name="Column1" dataDxfId="270"/>
    <tableColumn id="2" xr3:uid="{01F64631-FD7A-4695-90C5-2B590C9BE661}" name="2026" dataDxfId="269"/>
    <tableColumn id="3" xr3:uid="{1B3C4437-8D19-498D-B6C8-3C8552F15564}" name="2027" dataDxfId="268"/>
    <tableColumn id="4" xr3:uid="{59F445CB-A982-4DEB-ACF4-71BB5AA7E05D}" name="2028" dataDxfId="267"/>
    <tableColumn id="5" xr3:uid="{304700D8-7055-499A-B28D-F8305D71D788}" name="2029" dataDxfId="266"/>
    <tableColumn id="6" xr3:uid="{554DA52A-3CEF-4A98-8616-301AFB1EDD80}" name="2030" dataDxfId="265"/>
    <tableColumn id="7" xr3:uid="{BBC1EBFE-83A5-4215-9202-90EB8258BD6C}" name="2031" dataDxfId="264"/>
    <tableColumn id="8" xr3:uid="{1947E558-DAD1-4E89-9FA4-2D13FF6F73DC}" name="2032" dataDxfId="263"/>
    <tableColumn id="10" xr3:uid="{43689F17-3B6D-4B3C-8D1B-C374B6D11931}" name="2026-2032" dataDxfId="262"/>
    <tableColumn id="9" xr3:uid="{F436EE3F-FB15-4A23-A279-980E1DCABAF1}" name="2027-2032" dataDxfId="261"/>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8FDEFF6A-9BBF-43F5-A0CC-299AFB18F9F2}" name="Table13" displayName="Table13" ref="AZ37:BI65" totalsRowShown="0" headerRowDxfId="260" dataDxfId="258" headerRowBorderDxfId="259" tableBorderDxfId="257">
  <autoFilter ref="AZ37:BI65" xr:uid="{8FDEFF6A-9BBF-43F5-A0CC-299AFB18F9F2}"/>
  <tableColumns count="10">
    <tableColumn id="1" xr3:uid="{8663BAC8-6089-40C2-9849-29E0900789C0}" name="Column1" dataDxfId="256"/>
    <tableColumn id="2" xr3:uid="{A0846D28-2FB1-48D0-B644-5779EB20F643}" name="2026" dataDxfId="255">
      <calculatedColumnFormula>Table9[[#This Row],[2026]]</calculatedColumnFormula>
    </tableColumn>
    <tableColumn id="3" xr3:uid="{7CC10778-FFF9-4E11-92A0-84B6940A9033}" name="2027" dataDxfId="254">
      <calculatedColumnFormula>Table9[[#This Row],[2027]]+Table11[[#This Row],[2027]]</calculatedColumnFormula>
    </tableColumn>
    <tableColumn id="4" xr3:uid="{382053C9-6182-4F68-A5DC-A2F5AF317C8E}" name="2028" dataDxfId="253">
      <calculatedColumnFormula>E38+O38</calculatedColumnFormula>
    </tableColumn>
    <tableColumn id="5" xr3:uid="{E866C6E7-AE28-4BB8-8BA9-6EFA41A3D789}" name="2029" dataDxfId="252">
      <calculatedColumnFormula>F38+P38</calculatedColumnFormula>
    </tableColumn>
    <tableColumn id="6" xr3:uid="{5D319866-7DEB-46FE-AD67-BCC73A936230}" name="2030" dataDxfId="251">
      <calculatedColumnFormula>G38+Q38</calculatedColumnFormula>
    </tableColumn>
    <tableColumn id="7" xr3:uid="{84293F94-30D2-400A-8019-CC2380C81D1E}" name="2031" dataDxfId="250">
      <calculatedColumnFormula>H38+R38</calculatedColumnFormula>
    </tableColumn>
    <tableColumn id="8" xr3:uid="{9E6F0DD4-712F-4E72-9EB1-08A36CA56A08}" name="2032" dataDxfId="249">
      <calculatedColumnFormula>I38+S38</calculatedColumnFormula>
    </tableColumn>
    <tableColumn id="9" xr3:uid="{1177DBFB-7124-4AE2-AF0E-DDB38C21D897}" name="2026-2032" dataDxfId="248"/>
    <tableColumn id="10" xr3:uid="{13B7D709-4528-49F8-A06C-867CA1401466}" name="2027-2032" dataDxfId="247"/>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48559C25-85CA-405E-9D07-595F37CCA856}" name="Table15" displayName="Table15" ref="BL37:BU65" totalsRowShown="0" headerRowDxfId="246" dataDxfId="244" headerRowBorderDxfId="245" tableBorderDxfId="243">
  <autoFilter ref="BL37:BU65" xr:uid="{48559C25-85CA-405E-9D07-595F37CCA856}"/>
  <tableColumns count="10">
    <tableColumn id="1" xr3:uid="{2C1A758E-26BF-4463-A57A-8F19741936B4}" name="Column1" dataDxfId="242"/>
    <tableColumn id="2" xr3:uid="{3B781577-E0D3-4B25-AEAB-9C3158174273}" name="2026" dataDxfId="241">
      <calculatedColumnFormula>$BT$36*AG38</calculatedColumnFormula>
    </tableColumn>
    <tableColumn id="3" xr3:uid="{A7B03836-9D26-42B5-8E71-758CD9590877}" name="2027" dataDxfId="240">
      <calculatedColumnFormula>$BT$36*AH38</calculatedColumnFormula>
    </tableColumn>
    <tableColumn id="4" xr3:uid="{9C92EDDA-F675-4C59-833A-7C28091F07EC}" name="2028" dataDxfId="239">
      <calculatedColumnFormula>$BT$36*AI38</calculatedColumnFormula>
    </tableColumn>
    <tableColumn id="5" xr3:uid="{A49E83E5-9914-44CE-8F03-9C07578A7C03}" name="2029" dataDxfId="238">
      <calculatedColumnFormula>$BT$36*AJ38</calculatedColumnFormula>
    </tableColumn>
    <tableColumn id="6" xr3:uid="{863C7324-DB64-41FE-A08B-351C698233BB}" name="2030" dataDxfId="237">
      <calculatedColumnFormula>$BT$36*AK38</calculatedColumnFormula>
    </tableColumn>
    <tableColumn id="7" xr3:uid="{F0FEF670-0E3C-4633-8CC7-7A296AF4EB1B}" name="2031" dataDxfId="236">
      <calculatedColumnFormula>$BT$36*AL38</calculatedColumnFormula>
    </tableColumn>
    <tableColumn id="8" xr3:uid="{EC8AE919-F7C4-4187-BC04-5771741CD850}" name="2032" dataDxfId="235">
      <calculatedColumnFormula>$BT$36*AM38</calculatedColumnFormula>
    </tableColumn>
    <tableColumn id="9" xr3:uid="{4EAE1F93-8F06-4744-8246-A1B2ED06FE2D}" name="2026-2032" dataDxfId="234">
      <calculatedColumnFormula>$BT$36*AN38</calculatedColumnFormula>
    </tableColumn>
    <tableColumn id="10" xr3:uid="{E75FD87E-4106-4B3D-B54C-25F2B4E9EC24}" name="2027-2032" dataDxfId="233">
      <calculatedColumnFormula>$BT$36*AO38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3C176475-461B-4D38-9872-72BFB4E0C3BF}" name="Table17" displayName="Table17" ref="B71:K99" totalsRowShown="0" headerRowDxfId="232" headerRowBorderDxfId="231" tableBorderDxfId="230">
  <autoFilter ref="B71:K99" xr:uid="{3C176475-461B-4D38-9872-72BFB4E0C3BF}"/>
  <tableColumns count="10">
    <tableColumn id="1" xr3:uid="{4063FA74-CAE9-4CF3-AF97-8675E5793FF1}" name="Column1" dataDxfId="229"/>
    <tableColumn id="2" xr3:uid="{7D4F369F-B77E-4356-A65C-0F6572D0FEE2}" name="2026" dataDxfId="228"/>
    <tableColumn id="3" xr3:uid="{F967D0E2-B315-4120-ADB0-ED19C0FC53E9}" name="2027" dataDxfId="227"/>
    <tableColumn id="4" xr3:uid="{A7AC6B7F-6803-45DC-B9ED-17D212A72EA5}" name="2028" dataDxfId="226"/>
    <tableColumn id="5" xr3:uid="{97C8F22F-4803-4D91-B3F7-11573F799CBB}" name="2029" dataDxfId="225"/>
    <tableColumn id="6" xr3:uid="{4A9A3ABB-BC67-40F1-9180-5F15D9920817}" name="2030" dataDxfId="224"/>
    <tableColumn id="7" xr3:uid="{6AE5863E-92AF-4631-A543-84FCA0595EB0}" name="2031" dataDxfId="223"/>
    <tableColumn id="8" xr3:uid="{0E8A03EF-8A7D-42C9-90E0-7B3B4D8658EB}" name="2032" dataDxfId="222"/>
    <tableColumn id="9" xr3:uid="{DCF7161C-5D66-4BE7-A8CD-32E71CB275C7}" name="2026-2032" dataDxfId="221"/>
    <tableColumn id="10" xr3:uid="{14D430FA-25B6-41EA-90B6-7577CEEE2F43}" name="2027-2032" dataDxfId="220"/>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3ABBF71C-931C-4A6F-8C25-7BEAD9295065}" name="Table19" displayName="Table19" ref="L71:U99" totalsRowShown="0" headerRowDxfId="219" dataDxfId="217" headerRowBorderDxfId="218" tableBorderDxfId="216">
  <autoFilter ref="L71:U99" xr:uid="{3ABBF71C-931C-4A6F-8C25-7BEAD9295065}"/>
  <tableColumns count="10">
    <tableColumn id="1" xr3:uid="{DB3B3E88-0727-47C8-A114-1284AB3F1A3D}" name="Column1" dataDxfId="215"/>
    <tableColumn id="2" xr3:uid="{93E3B43D-688E-48C0-A746-55775D5C2AEA}" name="2026" dataDxfId="214">
      <calculatedColumnFormula>AQ38/$N5</calculatedColumnFormula>
    </tableColumn>
    <tableColumn id="3" xr3:uid="{1B77423D-BDAE-4BB0-9F3E-D4CF8D6340F6}" name="2027" dataDxfId="213"/>
    <tableColumn id="4" xr3:uid="{1AB8295B-5AE6-43BE-AB62-A2F157987D3D}" name="2028" dataDxfId="212"/>
    <tableColumn id="5" xr3:uid="{AD5264EB-B427-4B43-BAD5-204D8C15D149}" name="2029" dataDxfId="211"/>
    <tableColumn id="6" xr3:uid="{EA3B1C45-7A21-43E4-AFC0-42B59C45825E}" name="2030" dataDxfId="210"/>
    <tableColumn id="7" xr3:uid="{F087FF84-61C8-469C-BA87-0C9363EE5178}" name="2031" dataDxfId="209"/>
    <tableColumn id="8" xr3:uid="{CDB00CBE-E15C-4320-A9B7-FFE50446AFCE}" name="2032" dataDxfId="208"/>
    <tableColumn id="10" xr3:uid="{E243C787-C5E4-4D0E-91A4-D206D6024F19}" name="2026-2032" dataDxfId="207"/>
    <tableColumn id="9" xr3:uid="{C0A1C748-D075-447B-87B0-FEC8E334F541}" name="2027-2032" dataDxfId="206"/>
  </tableColumns>
  <tableStyleInfo name="TableStyleMedium2" showFirstColumn="0" showLastColumn="0" showRowStripes="1" showColumnStripes="0"/>
</table>
</file>

<file path=xl/theme/theme1.xml><?xml version="1.0" encoding="utf-8"?>
<a:theme xmlns:a="http://schemas.openxmlformats.org/drawingml/2006/main" name="Agora_EW">
  <a:themeElements>
    <a:clrScheme name="Agora_EW">
      <a:dk1>
        <a:sysClr val="windowText" lastClr="000000"/>
      </a:dk1>
      <a:lt1>
        <a:srgbClr val="F8F8F8"/>
      </a:lt1>
      <a:dk2>
        <a:srgbClr val="000000"/>
      </a:dk2>
      <a:lt2>
        <a:srgbClr val="FFFFFF"/>
      </a:lt2>
      <a:accent1>
        <a:srgbClr val="733E88"/>
      </a:accent1>
      <a:accent2>
        <a:srgbClr val="D05094"/>
      </a:accent2>
      <a:accent3>
        <a:srgbClr val="64B9E4"/>
      </a:accent3>
      <a:accent4>
        <a:srgbClr val="1E83B3"/>
      </a:accent4>
      <a:accent5>
        <a:srgbClr val="48A8AE"/>
      </a:accent5>
      <a:accent6>
        <a:srgbClr val="8393BE"/>
      </a:accent6>
      <a:hlink>
        <a:srgbClr val="000000"/>
      </a:hlink>
      <a:folHlink>
        <a:srgbClr val="000000"/>
      </a:folHlink>
    </a:clrScheme>
    <a:fontScheme name="Agora_EW">
      <a:majorFont>
        <a:latin typeface="Flexo"/>
        <a:ea typeface=""/>
        <a:cs typeface=""/>
      </a:majorFont>
      <a:minorFont>
        <a:latin typeface="Flex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agora-energiewende.org/" TargetMode="External"/><Relationship Id="rId1" Type="http://schemas.openxmlformats.org/officeDocument/2006/relationships/hyperlink" Target="mailto:info@agora-energiewende.de" TargetMode="External"/><Relationship Id="rId5" Type="http://schemas.openxmlformats.org/officeDocument/2006/relationships/drawing" Target="../drawings/drawing1.xml"/><Relationship Id="rId4" Type="http://schemas.openxmlformats.org/officeDocument/2006/relationships/customProperty" Target="../customProperty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5.xml"/><Relationship Id="rId13" Type="http://schemas.openxmlformats.org/officeDocument/2006/relationships/table" Target="../tables/table10.xml"/><Relationship Id="rId18" Type="http://schemas.openxmlformats.org/officeDocument/2006/relationships/table" Target="../tables/table15.xml"/><Relationship Id="rId3" Type="http://schemas.openxmlformats.org/officeDocument/2006/relationships/printerSettings" Target="../printerSettings/printerSettings3.bin"/><Relationship Id="rId21" Type="http://schemas.openxmlformats.org/officeDocument/2006/relationships/table" Target="../tables/table18.xml"/><Relationship Id="rId7" Type="http://schemas.openxmlformats.org/officeDocument/2006/relationships/table" Target="../tables/table4.xml"/><Relationship Id="rId12" Type="http://schemas.openxmlformats.org/officeDocument/2006/relationships/table" Target="../tables/table9.xml"/><Relationship Id="rId17" Type="http://schemas.openxmlformats.org/officeDocument/2006/relationships/table" Target="../tables/table14.xml"/><Relationship Id="rId2" Type="http://schemas.openxmlformats.org/officeDocument/2006/relationships/hyperlink" Target="https://ec.europa.eu/eurostat/databrowser/view/ilc_di03/default/table?lang=en" TargetMode="External"/><Relationship Id="rId16" Type="http://schemas.openxmlformats.org/officeDocument/2006/relationships/table" Target="../tables/table13.xml"/><Relationship Id="rId20" Type="http://schemas.openxmlformats.org/officeDocument/2006/relationships/table" Target="../tables/table17.xml"/><Relationship Id="rId1" Type="http://schemas.openxmlformats.org/officeDocument/2006/relationships/hyperlink" Target="https://ec.europa.eu/eurostat/databrowser/bookmark/1fe5fbf6-51a6-4b4b-a0d5-b9e715618a34?lang=en" TargetMode="External"/><Relationship Id="rId6" Type="http://schemas.openxmlformats.org/officeDocument/2006/relationships/table" Target="../tables/table3.xml"/><Relationship Id="rId11" Type="http://schemas.openxmlformats.org/officeDocument/2006/relationships/table" Target="../tables/table8.xml"/><Relationship Id="rId5" Type="http://schemas.openxmlformats.org/officeDocument/2006/relationships/table" Target="../tables/table2.xml"/><Relationship Id="rId15" Type="http://schemas.openxmlformats.org/officeDocument/2006/relationships/table" Target="../tables/table12.xml"/><Relationship Id="rId10" Type="http://schemas.openxmlformats.org/officeDocument/2006/relationships/table" Target="../tables/table7.xml"/><Relationship Id="rId19" Type="http://schemas.openxmlformats.org/officeDocument/2006/relationships/table" Target="../tables/table16.xml"/><Relationship Id="rId4" Type="http://schemas.openxmlformats.org/officeDocument/2006/relationships/table" Target="../tables/table1.xml"/><Relationship Id="rId9" Type="http://schemas.openxmlformats.org/officeDocument/2006/relationships/table" Target="../tables/table6.xml"/><Relationship Id="rId14" Type="http://schemas.openxmlformats.org/officeDocument/2006/relationships/table" Target="../tables/table11.xml"/></Relationships>
</file>

<file path=xl/worksheets/_rels/sheet5.xml.rels><?xml version="1.0" encoding="UTF-8" standalone="yes"?>
<Relationships xmlns="http://schemas.openxmlformats.org/package/2006/relationships"><Relationship Id="rId8" Type="http://schemas.openxmlformats.org/officeDocument/2006/relationships/table" Target="../tables/table24.xml"/><Relationship Id="rId3" Type="http://schemas.openxmlformats.org/officeDocument/2006/relationships/table" Target="../tables/table19.xml"/><Relationship Id="rId7" Type="http://schemas.openxmlformats.org/officeDocument/2006/relationships/table" Target="../tables/table23.xml"/><Relationship Id="rId2" Type="http://schemas.openxmlformats.org/officeDocument/2006/relationships/drawing" Target="../drawings/drawing8.xml"/><Relationship Id="rId1" Type="http://schemas.openxmlformats.org/officeDocument/2006/relationships/printerSettings" Target="../printerSettings/printerSettings4.bin"/><Relationship Id="rId6" Type="http://schemas.openxmlformats.org/officeDocument/2006/relationships/table" Target="../tables/table22.xml"/><Relationship Id="rId5" Type="http://schemas.openxmlformats.org/officeDocument/2006/relationships/table" Target="../tables/table21.xml"/><Relationship Id="rId10" Type="http://schemas.openxmlformats.org/officeDocument/2006/relationships/table" Target="../tables/table26.xml"/><Relationship Id="rId4" Type="http://schemas.openxmlformats.org/officeDocument/2006/relationships/table" Target="../tables/table20.xml"/><Relationship Id="rId9" Type="http://schemas.openxmlformats.org/officeDocument/2006/relationships/table" Target="../tables/table25.xm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D51BF-9C54-40B2-B758-A4D4DCAC9FAC}">
  <sheetPr>
    <tabColor theme="5"/>
  </sheetPr>
  <dimension ref="B2:O33"/>
  <sheetViews>
    <sheetView showGridLines="0" showRowColHeaders="0" tabSelected="1" zoomScaleNormal="100" workbookViewId="0">
      <pane ySplit="4" topLeftCell="A5" activePane="bottomLeft" state="frozen"/>
      <selection activeCell="B1" sqref="B1"/>
      <selection pane="bottomLeft" activeCell="A96" sqref="A96"/>
      <extLst>
        <ext xmlns:xlsdti="http://schemas.microsoft.com/office/spreadsheetml/2023/showDataTypeIcons" uri="{77bfe23e-c014-4d31-8a63-9c772dbf06b6}">
          <xlsdti:showDataTypeIcons visible="0"/>
        </ext>
      </extLst>
    </sheetView>
  </sheetViews>
  <sheetFormatPr defaultColWidth="9.453125" defaultRowHeight="15" x14ac:dyDescent="0.35"/>
  <cols>
    <col min="1" max="1" width="2.1796875" style="176" customWidth="1"/>
    <col min="2" max="2" width="1.81640625" style="176" customWidth="1"/>
    <col min="3" max="12" width="9.453125" style="176"/>
    <col min="13" max="13" width="11.81640625" style="176" customWidth="1"/>
    <col min="14" max="14" width="2.453125" style="176" customWidth="1"/>
    <col min="15" max="16384" width="9.453125" style="176"/>
  </cols>
  <sheetData>
    <row r="2" spans="2:15" ht="21.75" customHeight="1" x14ac:dyDescent="0.35">
      <c r="B2" s="276"/>
      <c r="C2" s="276"/>
      <c r="D2" s="276"/>
      <c r="E2" s="276"/>
      <c r="F2" s="276"/>
      <c r="G2" s="276"/>
      <c r="H2" s="276"/>
      <c r="I2" s="276"/>
      <c r="J2" s="276"/>
      <c r="K2" s="276"/>
      <c r="L2" s="276"/>
      <c r="M2" s="276"/>
      <c r="N2" s="276"/>
      <c r="O2" s="177"/>
    </row>
    <row r="3" spans="2:15" ht="21.75" customHeight="1" x14ac:dyDescent="0.35">
      <c r="B3" s="276"/>
      <c r="C3" s="277"/>
      <c r="D3" s="276"/>
      <c r="E3" s="276"/>
      <c r="F3" s="276"/>
      <c r="G3" s="276"/>
      <c r="H3" s="276"/>
      <c r="I3" s="276"/>
      <c r="J3" s="276"/>
      <c r="K3" s="276"/>
      <c r="L3" s="276"/>
      <c r="M3" s="276"/>
      <c r="N3" s="276"/>
      <c r="O3" s="177"/>
    </row>
    <row r="4" spans="2:15" ht="21" x14ac:dyDescent="0.35">
      <c r="B4" s="276"/>
      <c r="C4" s="278" t="s">
        <v>248</v>
      </c>
      <c r="D4" s="276"/>
      <c r="E4" s="276"/>
      <c r="F4" s="276"/>
      <c r="G4" s="276"/>
      <c r="H4" s="276"/>
      <c r="I4" s="276"/>
      <c r="J4" s="276"/>
      <c r="K4" s="276"/>
      <c r="L4" s="276"/>
      <c r="M4" s="276"/>
      <c r="N4" s="276"/>
      <c r="O4" s="177"/>
    </row>
    <row r="5" spans="2:15" x14ac:dyDescent="0.35">
      <c r="B5" s="279"/>
      <c r="C5" s="279"/>
      <c r="D5" s="279"/>
      <c r="E5" s="279"/>
      <c r="F5" s="279"/>
      <c r="G5" s="279"/>
      <c r="H5" s="279"/>
      <c r="I5" s="279"/>
      <c r="J5" s="279"/>
      <c r="K5" s="279"/>
      <c r="L5" s="279"/>
      <c r="M5" s="279"/>
      <c r="N5" s="279"/>
    </row>
    <row r="6" spans="2:15" x14ac:dyDescent="0.35">
      <c r="B6" s="279"/>
      <c r="C6" s="279"/>
      <c r="D6" s="279"/>
      <c r="E6" s="279"/>
      <c r="F6" s="279"/>
      <c r="G6" s="279"/>
      <c r="H6" s="279"/>
      <c r="I6" s="279"/>
      <c r="J6" s="279"/>
      <c r="K6" s="279"/>
      <c r="L6" s="279"/>
      <c r="M6" s="279"/>
      <c r="N6" s="279"/>
      <c r="O6" s="177"/>
    </row>
    <row r="7" spans="2:15" x14ac:dyDescent="0.35">
      <c r="B7" s="279"/>
      <c r="C7" s="279"/>
      <c r="D7" s="279"/>
      <c r="E7" s="279"/>
      <c r="F7" s="279"/>
      <c r="G7" s="279"/>
      <c r="H7" s="279"/>
      <c r="I7" s="279"/>
      <c r="J7" s="279"/>
      <c r="K7" s="279"/>
      <c r="L7" s="279"/>
      <c r="M7" s="279"/>
      <c r="N7" s="279"/>
      <c r="O7" s="177"/>
    </row>
    <row r="8" spans="2:15" x14ac:dyDescent="0.35">
      <c r="B8" s="279"/>
      <c r="C8" s="279"/>
      <c r="D8" s="279"/>
      <c r="E8" s="279"/>
      <c r="F8" s="279"/>
      <c r="G8" s="279"/>
      <c r="H8" s="279"/>
      <c r="I8" s="279"/>
      <c r="J8" s="279"/>
      <c r="K8" s="279"/>
      <c r="L8" s="279"/>
      <c r="M8" s="279"/>
      <c r="N8" s="279"/>
      <c r="O8" s="177"/>
    </row>
    <row r="9" spans="2:15" x14ac:dyDescent="0.35">
      <c r="B9" s="279"/>
      <c r="C9" s="279"/>
      <c r="D9" s="279"/>
      <c r="E9" s="279"/>
      <c r="F9" s="279"/>
      <c r="G9" s="279"/>
      <c r="H9" s="279"/>
      <c r="I9" s="279"/>
      <c r="J9" s="279"/>
      <c r="K9" s="279"/>
      <c r="L9" s="279"/>
      <c r="M9" s="279"/>
      <c r="N9" s="279"/>
      <c r="O9" s="177"/>
    </row>
    <row r="10" spans="2:15" x14ac:dyDescent="0.35">
      <c r="B10" s="279"/>
      <c r="C10" s="279"/>
      <c r="D10" s="279"/>
      <c r="E10" s="279"/>
      <c r="F10" s="279"/>
      <c r="G10" s="279"/>
      <c r="H10" s="279"/>
      <c r="I10" s="279"/>
      <c r="J10" s="279"/>
      <c r="K10" s="279"/>
      <c r="L10" s="279"/>
      <c r="M10" s="279"/>
      <c r="N10" s="279"/>
      <c r="O10" s="177"/>
    </row>
    <row r="11" spans="2:15" x14ac:dyDescent="0.35">
      <c r="B11" s="279"/>
      <c r="C11" s="279"/>
      <c r="D11" s="279"/>
      <c r="E11" s="279"/>
      <c r="F11" s="279"/>
      <c r="G11" s="279"/>
      <c r="H11" s="279"/>
      <c r="I11" s="279"/>
      <c r="J11" s="279"/>
      <c r="K11" s="279"/>
      <c r="L11" s="279"/>
      <c r="M11" s="279"/>
      <c r="N11" s="279"/>
      <c r="O11" s="177"/>
    </row>
    <row r="12" spans="2:15" x14ac:dyDescent="0.35">
      <c r="B12" s="279"/>
      <c r="C12" s="279"/>
      <c r="D12" s="279"/>
      <c r="E12" s="279"/>
      <c r="F12" s="279"/>
      <c r="G12" s="279"/>
      <c r="H12" s="279"/>
      <c r="I12" s="279"/>
      <c r="J12" s="279"/>
      <c r="K12" s="279"/>
      <c r="L12" s="279"/>
      <c r="M12" s="279"/>
      <c r="N12" s="279"/>
      <c r="O12" s="177"/>
    </row>
    <row r="13" spans="2:15" x14ac:dyDescent="0.35">
      <c r="B13" s="279"/>
      <c r="C13" s="279"/>
      <c r="D13" s="279"/>
      <c r="E13" s="279"/>
      <c r="F13" s="279"/>
      <c r="G13" s="279"/>
      <c r="H13" s="279"/>
      <c r="I13" s="279"/>
      <c r="J13" s="279"/>
      <c r="K13" s="279"/>
      <c r="L13" s="279"/>
      <c r="M13" s="279"/>
      <c r="N13" s="279"/>
      <c r="O13" s="177"/>
    </row>
    <row r="14" spans="2:15" x14ac:dyDescent="0.35">
      <c r="B14" s="279"/>
      <c r="C14" s="279"/>
      <c r="D14" s="279"/>
      <c r="E14" s="279"/>
      <c r="F14" s="279"/>
      <c r="G14" s="279"/>
      <c r="H14" s="279"/>
      <c r="I14" s="279"/>
      <c r="J14" s="279"/>
      <c r="K14" s="279"/>
      <c r="L14" s="279"/>
      <c r="M14" s="279"/>
      <c r="N14" s="279"/>
      <c r="O14" s="177"/>
    </row>
    <row r="15" spans="2:15" x14ac:dyDescent="0.35">
      <c r="B15" s="279"/>
      <c r="C15" s="279"/>
      <c r="D15" s="279"/>
      <c r="E15" s="279"/>
      <c r="F15" s="279"/>
      <c r="G15" s="279"/>
      <c r="H15" s="279"/>
      <c r="I15" s="279"/>
      <c r="J15" s="279"/>
      <c r="K15" s="279"/>
      <c r="L15" s="279"/>
      <c r="M15" s="279"/>
      <c r="N15" s="279"/>
      <c r="O15" s="177"/>
    </row>
    <row r="16" spans="2:15" x14ac:dyDescent="0.35">
      <c r="B16" s="279"/>
      <c r="C16" s="279"/>
      <c r="D16" s="279"/>
      <c r="E16" s="279"/>
      <c r="F16" s="279"/>
      <c r="G16" s="279"/>
      <c r="H16" s="279"/>
      <c r="I16" s="279"/>
      <c r="J16" s="279"/>
      <c r="K16" s="279"/>
      <c r="L16" s="279"/>
      <c r="M16" s="279"/>
      <c r="N16" s="279"/>
      <c r="O16" s="177"/>
    </row>
    <row r="17" spans="2:15" x14ac:dyDescent="0.35">
      <c r="B17" s="279"/>
      <c r="C17" s="279"/>
      <c r="D17" s="279"/>
      <c r="E17" s="279"/>
      <c r="F17" s="279"/>
      <c r="G17" s="279"/>
      <c r="H17" s="279"/>
      <c r="I17" s="279"/>
      <c r="J17" s="279"/>
      <c r="K17" s="279"/>
      <c r="L17" s="279"/>
      <c r="M17" s="279"/>
      <c r="N17" s="279"/>
      <c r="O17" s="177"/>
    </row>
    <row r="18" spans="2:15" x14ac:dyDescent="0.35">
      <c r="B18" s="279"/>
      <c r="C18" s="279"/>
      <c r="D18" s="279"/>
      <c r="E18" s="279"/>
      <c r="F18" s="279"/>
      <c r="G18" s="279"/>
      <c r="H18" s="279"/>
      <c r="I18" s="279"/>
      <c r="J18" s="279"/>
      <c r="K18" s="279"/>
      <c r="L18" s="279"/>
      <c r="M18" s="279"/>
      <c r="N18" s="279"/>
      <c r="O18" s="177"/>
    </row>
    <row r="19" spans="2:15" x14ac:dyDescent="0.35">
      <c r="B19" s="279"/>
      <c r="C19" s="279"/>
      <c r="D19" s="279"/>
      <c r="E19" s="279"/>
      <c r="F19" s="279"/>
      <c r="G19" s="279"/>
      <c r="H19" s="279"/>
      <c r="I19" s="279"/>
      <c r="J19" s="279"/>
      <c r="K19" s="279"/>
      <c r="L19" s="279"/>
      <c r="M19" s="279"/>
      <c r="N19" s="279"/>
      <c r="O19" s="177"/>
    </row>
    <row r="20" spans="2:15" x14ac:dyDescent="0.35">
      <c r="B20" s="279"/>
      <c r="C20" s="279"/>
      <c r="D20" s="279"/>
      <c r="E20" s="279"/>
      <c r="F20" s="279"/>
      <c r="G20" s="279"/>
      <c r="H20" s="279"/>
      <c r="I20" s="279"/>
      <c r="J20" s="279"/>
      <c r="K20" s="279"/>
      <c r="L20" s="279"/>
      <c r="M20" s="279"/>
      <c r="N20" s="279"/>
      <c r="O20" s="177"/>
    </row>
    <row r="21" spans="2:15" x14ac:dyDescent="0.35">
      <c r="B21" s="279"/>
      <c r="C21" s="280" t="s">
        <v>173</v>
      </c>
      <c r="D21" s="279"/>
      <c r="E21" s="281" t="s">
        <v>168</v>
      </c>
      <c r="F21" s="279"/>
      <c r="G21" s="279"/>
      <c r="H21" s="279"/>
      <c r="I21" s="282"/>
      <c r="J21" s="279"/>
      <c r="K21" s="279"/>
      <c r="L21" s="279"/>
      <c r="M21" s="279"/>
      <c r="N21" s="279"/>
      <c r="O21" s="177"/>
    </row>
    <row r="22" spans="2:15" x14ac:dyDescent="0.35">
      <c r="B22" s="279"/>
      <c r="C22" s="283"/>
      <c r="D22" s="279"/>
      <c r="E22" s="281" t="s">
        <v>167</v>
      </c>
      <c r="F22" s="279"/>
      <c r="G22" s="279"/>
      <c r="H22" s="279"/>
      <c r="I22" s="281"/>
      <c r="J22" s="279"/>
      <c r="K22" s="279"/>
      <c r="L22" s="279"/>
      <c r="M22" s="279"/>
      <c r="N22" s="279"/>
      <c r="O22" s="177"/>
    </row>
    <row r="23" spans="2:15" x14ac:dyDescent="0.35">
      <c r="B23" s="279"/>
      <c r="C23" s="283"/>
      <c r="D23" s="279"/>
      <c r="E23" s="281" t="s">
        <v>166</v>
      </c>
      <c r="F23" s="279"/>
      <c r="G23" s="279"/>
      <c r="H23" s="279"/>
      <c r="I23" s="279"/>
      <c r="J23" s="279"/>
      <c r="K23" s="279"/>
      <c r="L23" s="279"/>
      <c r="M23" s="279"/>
      <c r="N23" s="279"/>
      <c r="O23" s="177"/>
    </row>
    <row r="24" spans="2:15" x14ac:dyDescent="0.35">
      <c r="B24" s="279"/>
      <c r="C24" s="283"/>
      <c r="D24" s="279"/>
      <c r="E24" s="284" t="s">
        <v>172</v>
      </c>
      <c r="F24" s="279"/>
      <c r="G24" s="279"/>
      <c r="H24" s="279"/>
      <c r="I24" s="279"/>
      <c r="J24" s="279"/>
      <c r="K24" s="279"/>
      <c r="L24" s="279"/>
      <c r="M24" s="279"/>
      <c r="N24" s="279"/>
      <c r="O24" s="177"/>
    </row>
    <row r="25" spans="2:15" x14ac:dyDescent="0.35">
      <c r="B25" s="279"/>
      <c r="C25" s="283"/>
      <c r="D25" s="279"/>
      <c r="E25" s="281"/>
      <c r="F25" s="279"/>
      <c r="G25" s="279"/>
      <c r="H25" s="279"/>
      <c r="I25" s="279"/>
      <c r="J25" s="279"/>
      <c r="K25" s="279"/>
      <c r="L25" s="279"/>
      <c r="M25" s="279"/>
      <c r="N25" s="279"/>
      <c r="O25" s="177"/>
    </row>
    <row r="26" spans="2:15" x14ac:dyDescent="0.35">
      <c r="B26" s="279"/>
      <c r="C26" s="280" t="s">
        <v>171</v>
      </c>
      <c r="D26" s="279"/>
      <c r="E26" s="281" t="s">
        <v>247</v>
      </c>
      <c r="F26" s="279"/>
      <c r="G26" s="279"/>
      <c r="H26" s="279"/>
      <c r="I26" s="279"/>
      <c r="J26" s="279"/>
      <c r="K26" s="279"/>
      <c r="L26" s="279"/>
      <c r="M26" s="279"/>
      <c r="N26" s="279"/>
      <c r="O26" s="177"/>
    </row>
    <row r="27" spans="2:15" x14ac:dyDescent="0.35">
      <c r="B27" s="279"/>
      <c r="C27" s="283"/>
      <c r="D27" s="279"/>
      <c r="E27" s="281"/>
      <c r="F27" s="279"/>
      <c r="G27" s="279"/>
      <c r="H27" s="279"/>
      <c r="I27" s="279"/>
      <c r="J27" s="279"/>
      <c r="K27" s="279"/>
      <c r="L27" s="279"/>
      <c r="M27" s="279"/>
      <c r="N27" s="279"/>
      <c r="O27" s="177"/>
    </row>
    <row r="28" spans="2:15" x14ac:dyDescent="0.35">
      <c r="B28" s="279"/>
      <c r="C28" s="280" t="s">
        <v>174</v>
      </c>
      <c r="D28" s="285"/>
      <c r="E28" s="286">
        <v>45981</v>
      </c>
      <c r="F28" s="285"/>
      <c r="G28" s="279"/>
      <c r="H28" s="279"/>
      <c r="I28" s="279" t="s">
        <v>175</v>
      </c>
      <c r="J28" s="279"/>
      <c r="K28" s="279"/>
      <c r="L28" s="279"/>
      <c r="M28" s="279"/>
      <c r="N28" s="279"/>
      <c r="O28" s="177"/>
    </row>
    <row r="29" spans="2:15" x14ac:dyDescent="0.35">
      <c r="B29" s="279"/>
      <c r="C29" s="280" t="s">
        <v>170</v>
      </c>
      <c r="D29" s="279"/>
      <c r="E29" s="281" t="s">
        <v>165</v>
      </c>
      <c r="F29" s="279"/>
      <c r="G29" s="279"/>
      <c r="H29" s="279"/>
      <c r="I29" s="279" t="s">
        <v>176</v>
      </c>
      <c r="J29" s="279"/>
      <c r="K29" s="279"/>
      <c r="L29" s="279"/>
      <c r="M29" s="279"/>
      <c r="N29" s="279"/>
      <c r="O29" s="177"/>
    </row>
    <row r="30" spans="2:15" x14ac:dyDescent="0.35">
      <c r="B30" s="279"/>
      <c r="C30" s="283"/>
      <c r="D30" s="279"/>
      <c r="E30" s="281"/>
      <c r="F30" s="279"/>
      <c r="G30" s="279"/>
      <c r="H30" s="279"/>
      <c r="I30" s="279" t="s">
        <v>177</v>
      </c>
      <c r="J30" s="279"/>
      <c r="K30" s="279"/>
      <c r="L30" s="279"/>
      <c r="M30" s="279"/>
      <c r="N30" s="279"/>
      <c r="O30" s="177"/>
    </row>
    <row r="31" spans="2:15" x14ac:dyDescent="0.35">
      <c r="B31" s="279"/>
      <c r="C31" s="283"/>
      <c r="D31" s="279"/>
      <c r="E31" s="281"/>
      <c r="F31" s="279"/>
      <c r="G31" s="279"/>
      <c r="H31" s="279"/>
      <c r="I31" s="279"/>
      <c r="J31" s="279"/>
      <c r="K31" s="279"/>
      <c r="L31" s="279"/>
      <c r="M31" s="279"/>
      <c r="N31" s="279"/>
      <c r="O31" s="177"/>
    </row>
    <row r="32" spans="2:15" x14ac:dyDescent="0.35">
      <c r="B32" s="279"/>
      <c r="C32" s="280" t="s">
        <v>169</v>
      </c>
      <c r="D32" s="279"/>
      <c r="E32" s="284" t="s">
        <v>164</v>
      </c>
      <c r="F32" s="279"/>
      <c r="G32" s="279"/>
      <c r="H32" s="287" t="s">
        <v>249</v>
      </c>
      <c r="I32" s="279"/>
      <c r="J32" s="279"/>
      <c r="K32" s="279"/>
      <c r="L32" s="279"/>
      <c r="M32" s="279"/>
      <c r="N32" s="279"/>
      <c r="O32" s="177"/>
    </row>
    <row r="33" spans="2:15" x14ac:dyDescent="0.35">
      <c r="B33" s="279"/>
      <c r="C33" s="279"/>
      <c r="D33" s="279"/>
      <c r="E33" s="279"/>
      <c r="F33" s="279"/>
      <c r="G33" s="279"/>
      <c r="H33" s="279"/>
      <c r="I33" s="279"/>
      <c r="J33" s="279"/>
      <c r="K33" s="279"/>
      <c r="L33" s="279"/>
      <c r="M33" s="279"/>
      <c r="N33" s="279"/>
      <c r="O33" s="177"/>
    </row>
  </sheetData>
  <sheetProtection algorithmName="SHA-512" hashValue="jr9UR2xaI19nWxlNjwt0fThA6dL1TXh6IA+0Qq6cF5IdVZwbVESa7wHW/X6dRJ96zhWYAkzmwOsaEW2Bnlh51g==" saltValue="bdtLe7NmidQlzqZ+7DoJCQ==" spinCount="100000" sheet="1" objects="1" scenarios="1" selectLockedCells="1"/>
  <hyperlinks>
    <hyperlink ref="E32" r:id="rId1" xr:uid="{13F789D3-03E1-459A-BB97-16696D09BBCA}"/>
    <hyperlink ref="E24" r:id="rId2" xr:uid="{0B374FEC-659B-4505-AAE3-D85275E734F7}"/>
  </hyperlinks>
  <pageMargins left="0.7" right="0.7" top="0.78740157499999996" bottom="0.78740157499999996" header="0.3" footer="0.3"/>
  <pageSetup paperSize="9" orientation="portrait" r:id="rId3"/>
  <customProperties>
    <customPr name="ID" r:id="rId4"/>
  </customProperties>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E90F8-EC15-4C4F-8D8E-1782201D1835}">
  <sheetPr>
    <tabColor theme="5"/>
  </sheetPr>
  <dimension ref="B2:AD40"/>
  <sheetViews>
    <sheetView showGridLines="0" showRowColHeaders="0" zoomScale="85" zoomScaleNormal="85" workbookViewId="0">
      <pane ySplit="5" topLeftCell="A6" activePane="bottomLeft" state="frozen"/>
      <selection pane="bottomLeft" activeCell="A125" sqref="A125"/>
      <extLst>
        <ext xmlns:xlsdti="http://schemas.microsoft.com/office/spreadsheetml/2023/showDataTypeIcons" uri="{77bfe23e-c014-4d31-8a63-9c772dbf06b6}">
          <xlsdti:showDataTypeIcons visible="0"/>
        </ext>
      </extLst>
    </sheetView>
  </sheetViews>
  <sheetFormatPr defaultColWidth="9.453125" defaultRowHeight="15" x14ac:dyDescent="0.35"/>
  <cols>
    <col min="1" max="1" width="2.1796875" style="176" customWidth="1"/>
    <col min="2" max="2" width="1.81640625" style="176" customWidth="1"/>
    <col min="3" max="12" width="9.453125" style="176"/>
    <col min="13" max="13" width="2.453125" style="176" customWidth="1"/>
    <col min="14" max="14" width="2.54296875" style="176" customWidth="1"/>
    <col min="15" max="15" width="2.453125" style="176" customWidth="1"/>
    <col min="16" max="19" width="9.453125" style="176" customWidth="1"/>
    <col min="20" max="16384" width="9.453125" style="176"/>
  </cols>
  <sheetData>
    <row r="2" spans="2:30" ht="21.75" customHeight="1" x14ac:dyDescent="0.35">
      <c r="B2" s="288"/>
      <c r="C2" s="288"/>
      <c r="D2" s="288"/>
      <c r="E2" s="288"/>
      <c r="F2" s="288"/>
      <c r="G2" s="288"/>
      <c r="H2" s="288"/>
      <c r="I2" s="288"/>
      <c r="J2" s="288"/>
      <c r="K2" s="288"/>
      <c r="L2" s="288"/>
      <c r="M2" s="288"/>
      <c r="N2" s="177"/>
    </row>
    <row r="3" spans="2:30" ht="21.75" customHeight="1" x14ac:dyDescent="0.35">
      <c r="B3" s="288"/>
      <c r="C3" s="289"/>
      <c r="D3" s="288"/>
      <c r="E3" s="288"/>
      <c r="F3" s="288"/>
      <c r="G3" s="288"/>
      <c r="H3" s="288"/>
      <c r="I3" s="288"/>
      <c r="J3" s="288"/>
      <c r="K3" s="288"/>
      <c r="L3" s="288"/>
      <c r="M3" s="288"/>
      <c r="N3" s="177"/>
    </row>
    <row r="4" spans="2:30" ht="21" x14ac:dyDescent="0.35">
      <c r="B4" s="288"/>
      <c r="C4" s="290" t="s">
        <v>248</v>
      </c>
      <c r="D4" s="288"/>
      <c r="E4" s="288"/>
      <c r="F4" s="288"/>
      <c r="G4" s="288"/>
      <c r="H4" s="288"/>
      <c r="I4" s="288"/>
      <c r="J4" s="288"/>
      <c r="K4" s="288"/>
      <c r="L4" s="288"/>
      <c r="M4" s="288"/>
      <c r="N4" s="177"/>
    </row>
    <row r="5" spans="2:30" ht="15.6" x14ac:dyDescent="0.35">
      <c r="B5" s="288"/>
      <c r="C5" s="291" t="s">
        <v>181</v>
      </c>
      <c r="D5" s="288"/>
      <c r="E5" s="288"/>
      <c r="F5" s="288"/>
      <c r="G5" s="288"/>
      <c r="H5" s="288"/>
      <c r="I5" s="288"/>
      <c r="J5" s="288"/>
      <c r="K5" s="288"/>
      <c r="L5" s="288"/>
      <c r="M5" s="288"/>
      <c r="N5" s="177"/>
    </row>
    <row r="6" spans="2:30" x14ac:dyDescent="0.35">
      <c r="B6" s="178"/>
      <c r="C6" s="178"/>
      <c r="D6" s="178"/>
      <c r="E6" s="178"/>
      <c r="F6" s="178"/>
      <c r="G6" s="178"/>
      <c r="H6" s="178"/>
      <c r="I6" s="178"/>
      <c r="J6" s="178"/>
      <c r="K6" s="178"/>
      <c r="L6" s="178"/>
      <c r="M6" s="178"/>
      <c r="N6" s="177"/>
    </row>
    <row r="7" spans="2:30" x14ac:dyDescent="0.35">
      <c r="B7" s="178"/>
      <c r="C7" s="178"/>
      <c r="D7" s="178"/>
      <c r="E7" s="178"/>
      <c r="F7" s="178"/>
      <c r="G7" s="178"/>
      <c r="H7" s="178"/>
      <c r="I7" s="178"/>
      <c r="J7" s="178"/>
      <c r="K7" s="178"/>
      <c r="L7" s="178"/>
      <c r="M7" s="178"/>
      <c r="N7" s="177"/>
    </row>
    <row r="8" spans="2:30" x14ac:dyDescent="0.35">
      <c r="B8" s="178"/>
      <c r="C8" s="178"/>
      <c r="D8" s="178"/>
      <c r="E8" s="178"/>
      <c r="F8" s="178"/>
      <c r="G8" s="178"/>
      <c r="H8" s="178"/>
      <c r="I8" s="178"/>
      <c r="J8" s="178"/>
      <c r="K8" s="178"/>
      <c r="L8" s="178"/>
      <c r="M8" s="178"/>
      <c r="N8" s="177"/>
    </row>
    <row r="9" spans="2:30" x14ac:dyDescent="0.35">
      <c r="B9" s="178"/>
      <c r="C9" s="178"/>
      <c r="D9" s="178"/>
      <c r="E9" s="178"/>
      <c r="F9" s="178"/>
      <c r="G9" s="178"/>
      <c r="H9" s="178"/>
      <c r="I9" s="178"/>
      <c r="J9" s="178"/>
      <c r="K9" s="178"/>
      <c r="L9" s="178"/>
      <c r="M9" s="178"/>
      <c r="N9" s="177"/>
    </row>
    <row r="10" spans="2:30" x14ac:dyDescent="0.35">
      <c r="B10" s="178"/>
      <c r="C10" s="178"/>
      <c r="D10" s="178"/>
      <c r="E10" s="178"/>
      <c r="F10" s="178"/>
      <c r="G10" s="178"/>
      <c r="H10" s="178"/>
      <c r="I10" s="178"/>
      <c r="J10" s="178"/>
      <c r="K10" s="178"/>
      <c r="L10" s="178"/>
      <c r="M10" s="178"/>
      <c r="N10" s="177"/>
    </row>
    <row r="11" spans="2:30" x14ac:dyDescent="0.35">
      <c r="B11" s="178"/>
      <c r="C11" s="178"/>
      <c r="D11" s="178"/>
      <c r="E11" s="178"/>
      <c r="F11" s="178"/>
      <c r="G11" s="178"/>
      <c r="H11" s="178"/>
      <c r="I11" s="178"/>
      <c r="J11" s="178"/>
      <c r="K11" s="178"/>
      <c r="L11" s="178"/>
      <c r="M11" s="178"/>
      <c r="N11" s="177"/>
      <c r="O11" s="178"/>
      <c r="P11" s="178"/>
      <c r="Q11" s="178"/>
      <c r="R11" s="178"/>
      <c r="S11" s="178"/>
      <c r="T11" s="178"/>
      <c r="U11" s="178"/>
      <c r="V11" s="178"/>
      <c r="W11" s="178"/>
      <c r="X11" s="178"/>
      <c r="Y11" s="178"/>
      <c r="Z11" s="178"/>
      <c r="AA11" s="178"/>
      <c r="AB11" s="178"/>
      <c r="AC11" s="178"/>
      <c r="AD11" s="178"/>
    </row>
    <row r="12" spans="2:30" x14ac:dyDescent="0.35">
      <c r="B12" s="178"/>
      <c r="C12" s="178"/>
      <c r="D12" s="178"/>
      <c r="E12" s="178"/>
      <c r="F12" s="178"/>
      <c r="G12" s="178"/>
      <c r="H12" s="178"/>
      <c r="I12" s="178"/>
      <c r="J12" s="178"/>
      <c r="K12" s="178"/>
      <c r="L12" s="178"/>
      <c r="M12" s="178"/>
      <c r="N12" s="177"/>
      <c r="O12" s="178"/>
      <c r="P12" s="178"/>
      <c r="Q12" s="178"/>
      <c r="R12" s="178"/>
      <c r="S12" s="178"/>
      <c r="T12" s="178"/>
      <c r="U12" s="178"/>
      <c r="V12" s="178"/>
      <c r="W12" s="178"/>
      <c r="X12" s="178"/>
      <c r="Y12" s="178"/>
      <c r="Z12" s="178"/>
      <c r="AA12" s="178"/>
      <c r="AB12" s="178"/>
      <c r="AC12" s="178"/>
      <c r="AD12" s="178"/>
    </row>
    <row r="13" spans="2:30" x14ac:dyDescent="0.35">
      <c r="B13" s="178"/>
      <c r="C13" s="178"/>
      <c r="D13" s="178"/>
      <c r="E13" s="178"/>
      <c r="F13" s="178"/>
      <c r="G13" s="178"/>
      <c r="H13" s="178"/>
      <c r="I13" s="178"/>
      <c r="J13" s="178"/>
      <c r="K13" s="178"/>
      <c r="L13" s="178"/>
      <c r="M13" s="178"/>
      <c r="N13" s="177"/>
      <c r="O13" s="178"/>
      <c r="P13" s="178"/>
      <c r="Q13" s="178"/>
      <c r="R13" s="178"/>
      <c r="S13" s="178"/>
      <c r="T13" s="178"/>
      <c r="U13" s="178"/>
      <c r="V13" s="178"/>
      <c r="W13" s="178"/>
      <c r="X13" s="178"/>
      <c r="Y13" s="178"/>
      <c r="Z13" s="178"/>
      <c r="AA13" s="178"/>
      <c r="AB13" s="178"/>
      <c r="AC13" s="178"/>
      <c r="AD13" s="178"/>
    </row>
    <row r="14" spans="2:30" x14ac:dyDescent="0.35">
      <c r="B14" s="178"/>
      <c r="C14" s="178"/>
      <c r="D14" s="178"/>
      <c r="E14" s="178"/>
      <c r="F14" s="178"/>
      <c r="G14" s="178"/>
      <c r="H14" s="178"/>
      <c r="I14" s="178"/>
      <c r="J14" s="178"/>
      <c r="K14" s="178"/>
      <c r="L14" s="178"/>
      <c r="M14" s="178"/>
      <c r="N14" s="177"/>
      <c r="O14" s="178"/>
      <c r="P14" s="178"/>
      <c r="Q14" s="178"/>
      <c r="R14" s="178"/>
      <c r="S14" s="178"/>
      <c r="T14" s="178"/>
      <c r="U14" s="178"/>
      <c r="V14" s="178"/>
      <c r="W14" s="178"/>
      <c r="X14" s="178"/>
      <c r="Y14" s="178"/>
      <c r="Z14" s="178"/>
      <c r="AA14" s="178"/>
      <c r="AB14" s="178"/>
      <c r="AC14" s="178"/>
      <c r="AD14" s="178"/>
    </row>
    <row r="15" spans="2:30" x14ac:dyDescent="0.35">
      <c r="B15" s="178"/>
      <c r="C15" s="178"/>
      <c r="D15" s="178"/>
      <c r="E15" s="178"/>
      <c r="F15" s="178"/>
      <c r="G15" s="178"/>
      <c r="H15" s="178"/>
      <c r="I15" s="178"/>
      <c r="J15" s="178"/>
      <c r="K15" s="178"/>
      <c r="L15" s="178"/>
      <c r="M15" s="178"/>
      <c r="N15" s="177"/>
      <c r="O15" s="178"/>
      <c r="P15" s="178"/>
      <c r="Q15" s="178"/>
      <c r="R15" s="178"/>
      <c r="S15" s="178"/>
      <c r="T15" s="178"/>
      <c r="U15" s="178"/>
      <c r="V15" s="178"/>
      <c r="W15" s="178"/>
      <c r="X15" s="178"/>
      <c r="Y15" s="178"/>
      <c r="Z15" s="178"/>
      <c r="AA15" s="178"/>
      <c r="AB15" s="178"/>
      <c r="AC15" s="178"/>
      <c r="AD15" s="178"/>
    </row>
    <row r="16" spans="2:30" x14ac:dyDescent="0.35">
      <c r="B16" s="178"/>
      <c r="C16" s="178"/>
      <c r="D16" s="178"/>
      <c r="E16" s="178"/>
      <c r="F16" s="178"/>
      <c r="G16" s="178"/>
      <c r="H16" s="178"/>
      <c r="I16" s="178"/>
      <c r="J16" s="178"/>
      <c r="K16" s="178"/>
      <c r="L16" s="178"/>
      <c r="M16" s="178"/>
      <c r="N16" s="177"/>
      <c r="O16" s="178"/>
      <c r="P16" s="178"/>
      <c r="Q16" s="178"/>
      <c r="R16" s="178"/>
      <c r="S16" s="178"/>
      <c r="T16" s="178"/>
      <c r="U16" s="178"/>
      <c r="V16" s="178"/>
      <c r="W16" s="178"/>
      <c r="X16" s="178"/>
      <c r="Y16" s="178"/>
      <c r="Z16" s="178"/>
      <c r="AA16" s="178"/>
      <c r="AB16" s="178"/>
      <c r="AC16" s="178"/>
      <c r="AD16" s="178"/>
    </row>
    <row r="17" spans="2:30" x14ac:dyDescent="0.35">
      <c r="B17" s="178"/>
      <c r="C17" s="178"/>
      <c r="D17" s="178"/>
      <c r="E17" s="178"/>
      <c r="F17" s="178"/>
      <c r="G17" s="178"/>
      <c r="H17" s="178"/>
      <c r="I17" s="178"/>
      <c r="J17" s="178"/>
      <c r="K17" s="178"/>
      <c r="L17" s="178"/>
      <c r="M17" s="178"/>
      <c r="N17" s="177"/>
      <c r="O17" s="178"/>
      <c r="P17" s="178"/>
      <c r="Q17" s="178"/>
      <c r="R17" s="178"/>
      <c r="S17" s="178"/>
      <c r="T17" s="178"/>
      <c r="U17" s="178"/>
      <c r="V17" s="178"/>
      <c r="W17" s="178"/>
      <c r="X17" s="178"/>
      <c r="Y17" s="178"/>
      <c r="Z17" s="178"/>
      <c r="AA17" s="178"/>
      <c r="AB17" s="178"/>
      <c r="AC17" s="178"/>
      <c r="AD17" s="178"/>
    </row>
    <row r="18" spans="2:30" ht="15.6" x14ac:dyDescent="0.35">
      <c r="B18" s="178"/>
      <c r="C18" s="180"/>
      <c r="D18" s="178"/>
      <c r="E18" s="178"/>
      <c r="F18" s="178"/>
      <c r="G18" s="178"/>
      <c r="H18" s="178"/>
      <c r="I18" s="178"/>
      <c r="J18" s="178"/>
      <c r="K18" s="178"/>
      <c r="L18" s="178"/>
      <c r="M18" s="178"/>
      <c r="N18" s="177"/>
      <c r="O18" s="178"/>
      <c r="P18" s="178"/>
      <c r="Q18" s="178"/>
      <c r="R18" s="178"/>
      <c r="S18" s="178"/>
      <c r="T18" s="178"/>
      <c r="U18" s="178"/>
      <c r="V18" s="178"/>
      <c r="W18" s="178"/>
      <c r="X18" s="178"/>
      <c r="Y18" s="178"/>
      <c r="Z18" s="178"/>
      <c r="AA18" s="178"/>
      <c r="AB18" s="178"/>
      <c r="AC18" s="178"/>
      <c r="AD18" s="178"/>
    </row>
    <row r="19" spans="2:30" x14ac:dyDescent="0.35">
      <c r="B19" s="178"/>
      <c r="C19" s="178"/>
      <c r="D19" s="178"/>
      <c r="E19" s="178"/>
      <c r="F19" s="178"/>
      <c r="G19" s="178"/>
      <c r="H19" s="178"/>
      <c r="I19" s="178"/>
      <c r="J19" s="178"/>
      <c r="K19" s="178"/>
      <c r="L19" s="178"/>
      <c r="M19" s="178"/>
      <c r="N19" s="177"/>
      <c r="O19" s="178"/>
      <c r="P19" s="178"/>
      <c r="Q19" s="178"/>
      <c r="R19" s="178"/>
      <c r="S19" s="178"/>
      <c r="T19" s="178"/>
      <c r="U19" s="178"/>
      <c r="V19" s="178"/>
      <c r="W19" s="178"/>
      <c r="X19" s="178"/>
      <c r="Y19" s="178"/>
      <c r="Z19" s="178"/>
      <c r="AA19" s="178"/>
      <c r="AB19" s="178"/>
      <c r="AC19" s="178"/>
      <c r="AD19" s="178"/>
    </row>
    <row r="20" spans="2:30" x14ac:dyDescent="0.35">
      <c r="B20" s="178"/>
      <c r="C20" s="178"/>
      <c r="D20" s="178"/>
      <c r="E20" s="178"/>
      <c r="F20" s="178"/>
      <c r="G20" s="178"/>
      <c r="H20" s="178"/>
      <c r="I20" s="178"/>
      <c r="J20" s="178"/>
      <c r="K20" s="178"/>
      <c r="L20" s="178"/>
      <c r="M20" s="178"/>
      <c r="N20" s="177"/>
      <c r="O20" s="178"/>
      <c r="P20" s="178"/>
      <c r="Q20" s="178"/>
      <c r="R20" s="178"/>
      <c r="S20" s="178"/>
      <c r="T20" s="178"/>
      <c r="U20" s="178"/>
      <c r="V20" s="178"/>
      <c r="W20" s="178"/>
      <c r="X20" s="178"/>
      <c r="Y20" s="178"/>
      <c r="Z20" s="178"/>
      <c r="AA20" s="178"/>
      <c r="AB20" s="178"/>
      <c r="AC20" s="178"/>
      <c r="AD20" s="178"/>
    </row>
    <row r="21" spans="2:30" x14ac:dyDescent="0.35">
      <c r="B21" s="178"/>
      <c r="C21" s="178"/>
      <c r="D21" s="178"/>
      <c r="E21" s="178"/>
      <c r="F21" s="178"/>
      <c r="G21" s="178"/>
      <c r="H21" s="178"/>
      <c r="I21" s="178"/>
      <c r="J21" s="178"/>
      <c r="K21" s="178"/>
      <c r="L21" s="178"/>
      <c r="M21" s="178"/>
      <c r="N21" s="177"/>
      <c r="O21" s="178"/>
      <c r="P21" s="178"/>
      <c r="Q21" s="178"/>
      <c r="R21" s="178"/>
      <c r="S21" s="178"/>
      <c r="T21" s="178"/>
      <c r="U21" s="178"/>
      <c r="V21" s="178"/>
      <c r="W21" s="178"/>
      <c r="X21" s="178"/>
      <c r="Y21" s="178"/>
      <c r="Z21" s="178"/>
      <c r="AA21" s="178"/>
      <c r="AB21" s="178"/>
      <c r="AC21" s="178"/>
      <c r="AD21" s="178"/>
    </row>
    <row r="22" spans="2:30" x14ac:dyDescent="0.35">
      <c r="B22" s="178"/>
      <c r="C22" s="178"/>
      <c r="D22" s="178"/>
      <c r="E22" s="178"/>
      <c r="F22" s="178"/>
      <c r="G22" s="178"/>
      <c r="H22" s="178"/>
      <c r="I22" s="178"/>
      <c r="J22" s="178"/>
      <c r="K22" s="178"/>
      <c r="L22" s="178"/>
      <c r="M22" s="178"/>
      <c r="N22" s="177"/>
      <c r="O22" s="178"/>
      <c r="P22" s="178"/>
      <c r="Q22" s="178"/>
      <c r="R22" s="178"/>
      <c r="S22" s="178"/>
      <c r="T22" s="178"/>
      <c r="U22" s="178"/>
      <c r="V22" s="178"/>
      <c r="W22" s="178"/>
      <c r="X22" s="178"/>
      <c r="Y22" s="178"/>
      <c r="Z22" s="178"/>
      <c r="AA22" s="178"/>
      <c r="AB22" s="178"/>
      <c r="AC22" s="178"/>
      <c r="AD22" s="178"/>
    </row>
    <row r="23" spans="2:30" x14ac:dyDescent="0.35">
      <c r="B23" s="178"/>
      <c r="C23" s="178"/>
      <c r="D23" s="178"/>
      <c r="E23" s="178"/>
      <c r="F23" s="178"/>
      <c r="G23" s="178"/>
      <c r="H23" s="178"/>
      <c r="I23" s="178"/>
      <c r="J23" s="178"/>
      <c r="K23" s="178"/>
      <c r="L23" s="178"/>
      <c r="M23" s="178"/>
      <c r="N23" s="177"/>
      <c r="O23" s="178"/>
      <c r="P23" s="178"/>
      <c r="Q23" s="178"/>
      <c r="R23" s="178"/>
      <c r="S23" s="178"/>
      <c r="T23" s="178"/>
      <c r="U23" s="178"/>
      <c r="V23" s="178"/>
      <c r="W23" s="178"/>
      <c r="X23" s="178"/>
      <c r="Y23" s="178"/>
      <c r="Z23" s="178"/>
      <c r="AA23" s="178"/>
      <c r="AB23" s="178"/>
      <c r="AC23" s="178"/>
      <c r="AD23" s="178"/>
    </row>
    <row r="24" spans="2:30" x14ac:dyDescent="0.35">
      <c r="B24" s="178"/>
      <c r="C24" s="178"/>
      <c r="D24" s="178"/>
      <c r="E24" s="178"/>
      <c r="F24" s="178"/>
      <c r="G24" s="178"/>
      <c r="H24" s="178"/>
      <c r="I24" s="178"/>
      <c r="J24" s="178"/>
      <c r="K24" s="178"/>
      <c r="L24" s="178"/>
      <c r="M24" s="178"/>
      <c r="N24" s="177"/>
      <c r="O24" s="178"/>
      <c r="P24" s="178"/>
      <c r="Q24" s="178"/>
      <c r="R24" s="178"/>
      <c r="S24" s="178"/>
      <c r="T24" s="178"/>
      <c r="U24" s="178"/>
      <c r="V24" s="178"/>
      <c r="W24" s="178"/>
      <c r="X24" s="178"/>
      <c r="Y24" s="178"/>
      <c r="Z24" s="178"/>
      <c r="AA24" s="178"/>
      <c r="AB24" s="178"/>
      <c r="AC24" s="178"/>
      <c r="AD24" s="178"/>
    </row>
    <row r="25" spans="2:30" x14ac:dyDescent="0.35">
      <c r="B25" s="178"/>
      <c r="C25" s="178"/>
      <c r="D25" s="178"/>
      <c r="E25" s="178"/>
      <c r="F25" s="178"/>
      <c r="G25" s="178"/>
      <c r="H25" s="178"/>
      <c r="I25" s="178"/>
      <c r="J25" s="178"/>
      <c r="K25" s="178"/>
      <c r="L25" s="178"/>
      <c r="M25" s="178"/>
      <c r="N25" s="177"/>
      <c r="O25" s="178"/>
      <c r="P25" s="178"/>
      <c r="Q25" s="178"/>
      <c r="R25" s="178"/>
      <c r="S25" s="178"/>
      <c r="T25" s="178"/>
      <c r="U25" s="178"/>
      <c r="V25" s="178"/>
      <c r="W25" s="178"/>
      <c r="X25" s="178"/>
      <c r="Y25" s="178"/>
      <c r="Z25" s="178"/>
      <c r="AA25" s="178"/>
      <c r="AB25" s="178"/>
      <c r="AC25" s="178"/>
      <c r="AD25" s="178"/>
    </row>
    <row r="26" spans="2:30" x14ac:dyDescent="0.35">
      <c r="B26" s="178"/>
      <c r="C26" s="178"/>
      <c r="D26" s="178"/>
      <c r="E26" s="178"/>
      <c r="F26" s="178"/>
      <c r="G26" s="178"/>
      <c r="H26" s="178"/>
      <c r="I26" s="178"/>
      <c r="J26" s="178"/>
      <c r="K26" s="178"/>
      <c r="L26" s="178"/>
      <c r="M26" s="178"/>
      <c r="N26" s="177"/>
      <c r="O26" s="178"/>
      <c r="P26" s="178"/>
      <c r="Q26" s="178"/>
      <c r="R26" s="178"/>
      <c r="S26" s="178"/>
      <c r="T26" s="178"/>
      <c r="U26" s="178"/>
      <c r="V26" s="178"/>
      <c r="W26" s="178"/>
      <c r="X26" s="178"/>
      <c r="Y26" s="178"/>
      <c r="Z26" s="178"/>
      <c r="AA26" s="178"/>
      <c r="AB26" s="178"/>
      <c r="AC26" s="178"/>
      <c r="AD26" s="178"/>
    </row>
    <row r="27" spans="2:30" x14ac:dyDescent="0.35">
      <c r="B27" s="178"/>
      <c r="C27" s="178"/>
      <c r="D27" s="178"/>
      <c r="E27" s="179"/>
      <c r="F27" s="178"/>
      <c r="G27" s="178"/>
      <c r="H27" s="178"/>
      <c r="I27" s="181"/>
      <c r="J27" s="178"/>
      <c r="K27" s="178"/>
      <c r="L27" s="178"/>
      <c r="M27" s="178"/>
      <c r="N27" s="177"/>
      <c r="O27" s="178"/>
      <c r="P27" s="178"/>
      <c r="Q27" s="178"/>
      <c r="R27" s="178"/>
      <c r="S27" s="178"/>
      <c r="T27" s="178"/>
      <c r="U27" s="178"/>
      <c r="V27" s="178"/>
      <c r="W27" s="178"/>
      <c r="X27" s="178"/>
      <c r="Y27" s="178"/>
      <c r="Z27" s="178"/>
      <c r="AA27" s="178"/>
      <c r="AB27" s="178"/>
      <c r="AC27" s="178"/>
      <c r="AD27" s="178"/>
    </row>
    <row r="28" spans="2:30" ht="15.6" x14ac:dyDescent="0.35">
      <c r="B28" s="178"/>
      <c r="C28" s="180"/>
      <c r="D28" s="178"/>
      <c r="E28" s="179"/>
      <c r="F28" s="178"/>
      <c r="G28" s="178"/>
      <c r="H28" s="178"/>
      <c r="I28" s="179"/>
      <c r="J28" s="178"/>
      <c r="K28" s="178"/>
      <c r="L28" s="178"/>
      <c r="M28" s="178"/>
      <c r="N28" s="177"/>
      <c r="O28" s="178"/>
      <c r="P28" s="178"/>
      <c r="Q28" s="178"/>
      <c r="R28" s="178"/>
      <c r="S28" s="178"/>
      <c r="T28" s="178"/>
      <c r="U28" s="178"/>
      <c r="V28" s="178"/>
      <c r="W28" s="178"/>
      <c r="X28" s="178"/>
      <c r="Y28" s="178"/>
      <c r="Z28" s="178"/>
      <c r="AA28" s="178"/>
      <c r="AB28" s="178"/>
      <c r="AC28" s="178"/>
      <c r="AD28" s="178"/>
    </row>
    <row r="29" spans="2:30" x14ac:dyDescent="0.35">
      <c r="B29" s="178"/>
      <c r="C29" s="178"/>
      <c r="D29" s="178"/>
      <c r="E29" s="179"/>
      <c r="F29" s="178"/>
      <c r="G29" s="178"/>
      <c r="H29" s="178"/>
      <c r="I29" s="178"/>
      <c r="J29" s="178"/>
      <c r="K29" s="178"/>
      <c r="L29" s="178"/>
      <c r="M29" s="178"/>
      <c r="N29" s="177"/>
      <c r="O29" s="178"/>
      <c r="P29" s="178"/>
      <c r="Q29" s="178"/>
      <c r="R29" s="178"/>
      <c r="S29" s="178"/>
      <c r="T29" s="178"/>
      <c r="U29" s="178"/>
      <c r="V29" s="178"/>
      <c r="W29" s="178"/>
      <c r="X29" s="178"/>
      <c r="Y29" s="178"/>
      <c r="Z29" s="178"/>
      <c r="AA29" s="178"/>
      <c r="AB29" s="178"/>
      <c r="AC29" s="178"/>
      <c r="AD29" s="178"/>
    </row>
    <row r="30" spans="2:30" x14ac:dyDescent="0.35">
      <c r="B30" s="178"/>
      <c r="C30" s="183"/>
      <c r="D30" s="178"/>
      <c r="E30" s="182"/>
      <c r="F30" s="178"/>
      <c r="G30" s="178"/>
      <c r="H30" s="178"/>
      <c r="I30" s="178"/>
      <c r="J30" s="178"/>
      <c r="K30" s="178"/>
      <c r="L30" s="178"/>
      <c r="M30" s="178"/>
      <c r="N30" s="177"/>
      <c r="O30" s="178"/>
      <c r="P30" s="178"/>
      <c r="Q30" s="178"/>
      <c r="R30" s="178"/>
      <c r="S30" s="178"/>
      <c r="T30" s="178"/>
      <c r="U30" s="178"/>
      <c r="V30" s="178"/>
      <c r="W30" s="178"/>
      <c r="X30" s="178"/>
      <c r="Y30" s="178"/>
      <c r="Z30" s="178"/>
      <c r="AA30" s="178"/>
      <c r="AB30" s="178"/>
      <c r="AC30" s="178"/>
      <c r="AD30" s="178"/>
    </row>
    <row r="31" spans="2:30" x14ac:dyDescent="0.35">
      <c r="B31" s="178"/>
      <c r="C31" s="183"/>
      <c r="D31" s="178"/>
      <c r="E31" s="179"/>
      <c r="F31" s="178"/>
      <c r="G31" s="178"/>
      <c r="H31" s="178"/>
      <c r="I31" s="178"/>
      <c r="J31" s="178"/>
      <c r="K31" s="178"/>
      <c r="L31" s="178"/>
      <c r="M31" s="178"/>
      <c r="N31" s="177"/>
      <c r="O31" s="178"/>
      <c r="P31" s="178"/>
      <c r="Q31" s="178"/>
      <c r="R31" s="178"/>
      <c r="S31" s="178"/>
      <c r="T31" s="178"/>
      <c r="U31" s="178"/>
      <c r="V31" s="178"/>
      <c r="W31" s="178"/>
      <c r="X31" s="178"/>
      <c r="Y31" s="178"/>
      <c r="Z31" s="178"/>
      <c r="AA31" s="178"/>
      <c r="AB31" s="178"/>
      <c r="AC31" s="178"/>
      <c r="AD31" s="178"/>
    </row>
    <row r="32" spans="2:30" x14ac:dyDescent="0.35">
      <c r="B32" s="178"/>
      <c r="C32" s="184"/>
      <c r="D32" s="178"/>
      <c r="E32" s="178"/>
      <c r="F32" s="178"/>
      <c r="G32" s="178"/>
      <c r="H32" s="178"/>
      <c r="I32" s="178"/>
      <c r="J32" s="178"/>
      <c r="K32" s="178"/>
      <c r="L32" s="178"/>
      <c r="M32" s="178"/>
      <c r="N32" s="177"/>
      <c r="O32" s="178"/>
      <c r="P32" s="178"/>
      <c r="Q32" s="178"/>
      <c r="R32" s="178"/>
      <c r="S32" s="178"/>
      <c r="T32" s="178"/>
      <c r="U32" s="178"/>
      <c r="V32" s="178"/>
      <c r="W32" s="178"/>
      <c r="X32" s="178"/>
      <c r="Y32" s="178"/>
      <c r="Z32" s="178"/>
      <c r="AA32" s="178"/>
      <c r="AB32" s="178"/>
      <c r="AC32" s="178"/>
      <c r="AD32" s="178"/>
    </row>
    <row r="33" spans="2:30" x14ac:dyDescent="0.35">
      <c r="B33" s="178"/>
      <c r="C33" s="178"/>
      <c r="D33" s="178"/>
      <c r="E33" s="178"/>
      <c r="F33" s="178"/>
      <c r="G33" s="178"/>
      <c r="H33" s="178"/>
      <c r="I33" s="178"/>
      <c r="J33" s="178"/>
      <c r="K33" s="178"/>
      <c r="L33" s="178"/>
      <c r="M33" s="178"/>
      <c r="N33" s="177"/>
      <c r="O33" s="178"/>
      <c r="P33" s="178"/>
      <c r="Q33" s="178"/>
      <c r="R33" s="178"/>
      <c r="S33" s="178"/>
      <c r="T33" s="178"/>
      <c r="U33" s="178"/>
      <c r="V33" s="178"/>
      <c r="W33" s="178"/>
      <c r="X33" s="178"/>
      <c r="Y33" s="178"/>
      <c r="Z33" s="178"/>
      <c r="AA33" s="178"/>
      <c r="AB33" s="178"/>
      <c r="AC33" s="178"/>
      <c r="AD33" s="178"/>
    </row>
    <row r="34" spans="2:30" x14ac:dyDescent="0.35">
      <c r="B34" s="178"/>
      <c r="C34" s="178"/>
      <c r="D34" s="178"/>
      <c r="E34" s="178"/>
      <c r="F34" s="178"/>
      <c r="G34" s="178"/>
      <c r="H34" s="178"/>
      <c r="I34" s="178"/>
      <c r="J34" s="178"/>
      <c r="K34" s="178"/>
      <c r="L34" s="178"/>
      <c r="M34" s="178"/>
      <c r="N34" s="177"/>
      <c r="O34" s="178"/>
      <c r="P34" s="178"/>
      <c r="Q34" s="178"/>
      <c r="R34" s="178"/>
      <c r="S34" s="178"/>
      <c r="T34" s="178"/>
      <c r="U34" s="178"/>
      <c r="V34" s="178"/>
      <c r="W34" s="178"/>
      <c r="X34" s="178"/>
      <c r="Y34" s="178"/>
      <c r="Z34" s="178"/>
      <c r="AA34" s="178"/>
      <c r="AB34" s="178"/>
      <c r="AC34" s="178"/>
      <c r="AD34" s="178"/>
    </row>
    <row r="35" spans="2:30" x14ac:dyDescent="0.35">
      <c r="B35" s="178"/>
      <c r="C35" s="178"/>
      <c r="D35" s="178"/>
      <c r="E35" s="178"/>
      <c r="F35" s="178"/>
      <c r="G35" s="178"/>
      <c r="H35" s="178"/>
      <c r="I35" s="178"/>
      <c r="J35" s="178"/>
      <c r="K35" s="178"/>
      <c r="L35" s="178"/>
      <c r="M35" s="178"/>
      <c r="O35" s="178"/>
      <c r="P35" s="178"/>
      <c r="Q35" s="178"/>
      <c r="R35" s="178"/>
      <c r="S35" s="178"/>
      <c r="T35" s="178"/>
      <c r="U35" s="178"/>
      <c r="V35" s="178"/>
      <c r="W35" s="178"/>
      <c r="X35" s="178"/>
      <c r="Y35" s="178"/>
      <c r="Z35" s="178"/>
      <c r="AA35" s="178"/>
      <c r="AB35" s="178"/>
      <c r="AC35" s="178"/>
      <c r="AD35" s="178"/>
    </row>
    <row r="36" spans="2:30" x14ac:dyDescent="0.35">
      <c r="B36" s="178"/>
      <c r="C36" s="178"/>
      <c r="D36" s="178"/>
      <c r="E36" s="178"/>
      <c r="F36" s="178"/>
      <c r="G36" s="178"/>
      <c r="H36" s="178"/>
      <c r="I36" s="178"/>
      <c r="J36" s="178"/>
      <c r="K36" s="178"/>
      <c r="L36" s="178"/>
      <c r="M36" s="178"/>
      <c r="O36" s="178"/>
      <c r="P36" s="178"/>
      <c r="Q36" s="178"/>
      <c r="R36" s="178"/>
      <c r="S36" s="178"/>
      <c r="T36" s="178"/>
      <c r="U36" s="178"/>
      <c r="V36" s="178"/>
      <c r="W36" s="178"/>
      <c r="X36" s="178"/>
      <c r="Y36" s="178"/>
      <c r="Z36" s="178"/>
      <c r="AA36" s="178"/>
      <c r="AB36" s="178"/>
      <c r="AC36" s="178"/>
      <c r="AD36" s="178"/>
    </row>
    <row r="37" spans="2:30" x14ac:dyDescent="0.35">
      <c r="B37" s="178"/>
      <c r="C37" s="178"/>
      <c r="D37" s="178"/>
      <c r="E37" s="178"/>
      <c r="F37" s="178"/>
      <c r="G37" s="178"/>
      <c r="H37" s="178"/>
      <c r="I37" s="178"/>
      <c r="J37" s="178"/>
      <c r="K37" s="178"/>
      <c r="L37" s="178"/>
      <c r="M37" s="178"/>
      <c r="O37" s="178"/>
      <c r="P37" s="178"/>
      <c r="Q37" s="178"/>
      <c r="R37" s="178"/>
      <c r="S37" s="178"/>
      <c r="T37" s="178"/>
      <c r="U37" s="178"/>
      <c r="V37" s="178"/>
      <c r="W37" s="178"/>
      <c r="X37" s="178"/>
      <c r="Y37" s="178"/>
      <c r="Z37" s="178"/>
      <c r="AA37" s="178"/>
      <c r="AB37" s="178"/>
      <c r="AC37" s="178"/>
      <c r="AD37" s="178"/>
    </row>
    <row r="38" spans="2:30" x14ac:dyDescent="0.35">
      <c r="B38" s="178"/>
      <c r="C38" s="178"/>
      <c r="D38" s="178"/>
      <c r="E38" s="178"/>
      <c r="F38" s="178"/>
      <c r="G38" s="178"/>
      <c r="H38" s="178"/>
      <c r="I38" s="178"/>
      <c r="J38" s="178"/>
      <c r="K38" s="178"/>
      <c r="L38" s="178"/>
      <c r="M38" s="178"/>
      <c r="O38" s="178"/>
      <c r="P38" s="178"/>
      <c r="Q38" s="178"/>
      <c r="R38" s="178"/>
      <c r="S38" s="178"/>
      <c r="T38" s="178"/>
      <c r="U38" s="178"/>
      <c r="V38" s="178"/>
      <c r="W38" s="178"/>
      <c r="X38" s="178"/>
      <c r="Y38" s="178"/>
      <c r="Z38" s="178"/>
      <c r="AA38" s="178"/>
      <c r="AB38" s="178"/>
      <c r="AC38" s="178"/>
      <c r="AD38" s="178"/>
    </row>
    <row r="39" spans="2:30" x14ac:dyDescent="0.35">
      <c r="B39" s="178"/>
      <c r="C39" s="178"/>
      <c r="D39" s="178"/>
      <c r="E39" s="178"/>
      <c r="F39" s="178"/>
      <c r="G39" s="178"/>
      <c r="H39" s="178"/>
      <c r="I39" s="178"/>
      <c r="J39" s="178"/>
      <c r="K39" s="178"/>
      <c r="L39" s="178"/>
      <c r="M39" s="178"/>
      <c r="O39" s="178"/>
      <c r="P39" s="178"/>
      <c r="Q39" s="178"/>
      <c r="R39" s="178"/>
      <c r="S39" s="178"/>
      <c r="T39" s="178"/>
      <c r="U39" s="178"/>
      <c r="V39" s="178"/>
      <c r="W39" s="178"/>
      <c r="X39" s="178"/>
      <c r="Y39" s="178"/>
      <c r="Z39" s="178"/>
      <c r="AA39" s="178"/>
      <c r="AB39" s="178"/>
      <c r="AC39" s="178"/>
      <c r="AD39" s="178"/>
    </row>
    <row r="40" spans="2:30" x14ac:dyDescent="0.35">
      <c r="B40" s="178"/>
      <c r="C40" s="178"/>
      <c r="D40" s="178"/>
      <c r="E40" s="178"/>
      <c r="F40" s="178"/>
      <c r="G40" s="178"/>
      <c r="H40" s="178"/>
      <c r="I40" s="178"/>
      <c r="J40" s="178"/>
      <c r="K40" s="178"/>
      <c r="L40" s="178"/>
      <c r="M40" s="178"/>
      <c r="O40" s="178"/>
      <c r="P40" s="178"/>
      <c r="Q40" s="178"/>
      <c r="R40" s="178"/>
      <c r="S40" s="178"/>
      <c r="T40" s="178"/>
      <c r="U40" s="178"/>
      <c r="V40" s="178"/>
      <c r="W40" s="178"/>
      <c r="X40" s="178"/>
      <c r="Y40" s="178"/>
      <c r="Z40" s="178"/>
      <c r="AA40" s="178"/>
      <c r="AB40" s="178"/>
      <c r="AC40" s="178"/>
      <c r="AD40" s="178"/>
    </row>
  </sheetData>
  <sheetProtection algorithmName="SHA-512" hashValue="H4tFQCNly6XBr+aDLcEC87nprWEY4b8hQgNYWRiJ+d9jy9OwakrTKDTmhJWk16Y75Gcdf8Gzb6h+YfX00sZP4A==" saltValue="iTGBHxBZTEdL3h+SxYAFuw==" spinCount="100000" sheet="1" objects="1" scenarios="1" selectLockedCells="1"/>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F4AC0-4C77-465F-A46F-114E09DD2D23}">
  <sheetPr codeName="Sheet1">
    <tabColor rgb="FF7030A0"/>
  </sheetPr>
  <dimension ref="A1:AQ148"/>
  <sheetViews>
    <sheetView showGridLines="0" showRowColHeaders="0" zoomScale="85" zoomScaleNormal="85" workbookViewId="0">
      <selection activeCell="C3" sqref="C3"/>
      <extLst>
        <ext xmlns:xlsdti="http://schemas.microsoft.com/office/spreadsheetml/2023/showDataTypeIcons" uri="{77bfe23e-c014-4d31-8a63-9c772dbf06b6}">
          <xlsdti:showDataTypeIcons visible="0"/>
        </ext>
      </extLst>
    </sheetView>
  </sheetViews>
  <sheetFormatPr defaultColWidth="10.81640625" defaultRowHeight="15" x14ac:dyDescent="0.35"/>
  <cols>
    <col min="1" max="1" width="5.6328125" customWidth="1"/>
    <col min="2" max="2" width="16.453125" customWidth="1"/>
    <col min="3" max="3" width="10.36328125" customWidth="1"/>
    <col min="4" max="4" width="17.36328125" customWidth="1"/>
    <col min="5" max="5" width="10.36328125" customWidth="1"/>
    <col min="6" max="6" width="9.90625" customWidth="1"/>
    <col min="7" max="7" width="10.1796875" customWidth="1"/>
    <col min="8" max="8" width="8.36328125" customWidth="1"/>
    <col min="9" max="9" width="9.1796875" customWidth="1"/>
    <col min="10" max="10" width="3" customWidth="1"/>
    <col min="11" max="11" width="9.1796875" customWidth="1"/>
    <col min="12" max="12" width="5.36328125" customWidth="1"/>
    <col min="13" max="24" width="10.81640625" customWidth="1"/>
  </cols>
  <sheetData>
    <row r="1" spans="1:38" s="191" customFormat="1" ht="30" customHeight="1" x14ac:dyDescent="0.35">
      <c r="A1" s="189"/>
      <c r="B1" s="189" t="s">
        <v>178</v>
      </c>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row>
    <row r="2" spans="1:38" ht="9.9" customHeight="1" x14ac:dyDescent="0.35">
      <c r="A2" s="89"/>
      <c r="B2" s="89"/>
      <c r="C2" s="89"/>
      <c r="D2" s="89"/>
      <c r="E2" s="89"/>
      <c r="F2" s="89"/>
      <c r="G2" s="89"/>
      <c r="H2" s="89"/>
      <c r="I2" s="89"/>
      <c r="J2" s="89"/>
      <c r="K2" s="89"/>
      <c r="L2" s="89"/>
      <c r="M2" s="89"/>
      <c r="N2" s="89"/>
      <c r="O2" s="89"/>
      <c r="P2" s="89"/>
      <c r="Q2" s="89"/>
      <c r="R2" s="89"/>
      <c r="S2" s="89"/>
      <c r="T2" s="89"/>
      <c r="U2" s="190"/>
      <c r="V2" s="190"/>
      <c r="W2" s="190"/>
      <c r="X2" s="190"/>
      <c r="Y2" s="190"/>
      <c r="Z2" s="190"/>
      <c r="AA2" s="190"/>
      <c r="AB2" s="190"/>
      <c r="AC2" s="190"/>
      <c r="AD2" s="190"/>
      <c r="AE2" s="190"/>
      <c r="AF2" s="190"/>
      <c r="AG2" s="190"/>
      <c r="AH2" s="190"/>
      <c r="AI2" s="190"/>
      <c r="AJ2" s="190"/>
      <c r="AK2" s="190"/>
      <c r="AL2" s="190"/>
    </row>
    <row r="3" spans="1:38" x14ac:dyDescent="0.35">
      <c r="A3" s="89"/>
      <c r="B3" s="316" t="s">
        <v>225</v>
      </c>
      <c r="C3" s="334">
        <v>2028</v>
      </c>
      <c r="D3" s="89"/>
      <c r="E3" s="89"/>
      <c r="F3" s="89"/>
      <c r="G3" s="89"/>
      <c r="H3" s="89"/>
      <c r="I3" s="89"/>
      <c r="J3" s="89"/>
      <c r="K3" s="89"/>
      <c r="L3" s="89"/>
      <c r="M3" s="89"/>
      <c r="N3" s="89"/>
      <c r="O3" s="89"/>
      <c r="P3" s="89"/>
      <c r="Q3" s="89"/>
      <c r="R3" s="89"/>
      <c r="S3" s="89"/>
      <c r="T3" s="89"/>
      <c r="U3" s="190"/>
      <c r="V3" s="190"/>
      <c r="W3" s="190"/>
      <c r="X3" s="190"/>
      <c r="Y3" s="190"/>
      <c r="Z3" s="190"/>
      <c r="AA3" s="190"/>
      <c r="AB3" s="190"/>
      <c r="AC3" s="190"/>
      <c r="AD3" s="190"/>
      <c r="AE3" s="190"/>
      <c r="AF3" s="190"/>
      <c r="AG3" s="190"/>
      <c r="AH3" s="190"/>
      <c r="AI3" s="190"/>
      <c r="AJ3" s="190"/>
      <c r="AK3" s="190"/>
      <c r="AL3" s="190"/>
    </row>
    <row r="4" spans="1:38" ht="9.9" customHeight="1" x14ac:dyDescent="0.35">
      <c r="A4" s="89"/>
      <c r="B4" s="89"/>
      <c r="C4" s="89"/>
      <c r="D4" s="89"/>
      <c r="E4" s="89"/>
      <c r="F4" s="89"/>
      <c r="G4" s="89"/>
      <c r="H4" s="89"/>
      <c r="I4" s="89"/>
      <c r="J4" s="89"/>
      <c r="K4" s="89"/>
      <c r="L4" s="89"/>
      <c r="M4" s="89"/>
      <c r="N4" s="89"/>
      <c r="O4" s="89"/>
      <c r="P4" s="89"/>
      <c r="Q4" s="89"/>
      <c r="R4" s="89"/>
      <c r="S4" s="89"/>
      <c r="T4" s="89"/>
      <c r="U4" s="190"/>
      <c r="V4" s="190"/>
      <c r="W4" s="190"/>
      <c r="X4" s="190"/>
      <c r="Y4" s="190"/>
      <c r="Z4" s="190"/>
      <c r="AA4" s="190"/>
      <c r="AB4" s="190"/>
      <c r="AC4" s="190"/>
      <c r="AD4" s="190"/>
      <c r="AE4" s="190"/>
      <c r="AF4" s="190"/>
      <c r="AG4" s="190"/>
      <c r="AH4" s="190"/>
      <c r="AI4" s="190"/>
      <c r="AJ4" s="190"/>
      <c r="AK4" s="190"/>
      <c r="AL4" s="190"/>
    </row>
    <row r="5" spans="1:38" ht="45" x14ac:dyDescent="0.35">
      <c r="A5" s="89"/>
      <c r="B5" s="185" t="s">
        <v>191</v>
      </c>
      <c r="C5" s="335">
        <v>48</v>
      </c>
      <c r="D5" s="192" t="s">
        <v>118</v>
      </c>
      <c r="E5" s="336" t="s">
        <v>246</v>
      </c>
      <c r="F5" s="193"/>
      <c r="G5" s="89"/>
      <c r="H5" s="89"/>
      <c r="I5" s="89"/>
      <c r="J5" s="89"/>
      <c r="K5" s="89"/>
      <c r="L5" s="89"/>
      <c r="M5" s="89"/>
      <c r="N5" s="89"/>
      <c r="O5" s="89"/>
      <c r="P5" s="89"/>
      <c r="Q5" s="89"/>
      <c r="R5" s="89"/>
      <c r="S5" s="89"/>
      <c r="T5" s="89"/>
      <c r="U5" s="190"/>
      <c r="V5" s="190"/>
      <c r="W5" s="190"/>
      <c r="X5" s="292"/>
      <c r="Y5" s="292" t="s">
        <v>214</v>
      </c>
      <c r="Z5" s="174"/>
      <c r="AA5" s="295"/>
      <c r="AB5" s="295"/>
      <c r="AC5" s="190"/>
      <c r="AD5" s="190"/>
      <c r="AE5" s="190"/>
      <c r="AF5" s="190"/>
      <c r="AG5" s="190"/>
      <c r="AH5" s="190"/>
      <c r="AI5" s="190"/>
      <c r="AJ5" s="190"/>
      <c r="AK5" s="190"/>
      <c r="AL5" s="190"/>
    </row>
    <row r="6" spans="1:38" ht="15" customHeight="1" x14ac:dyDescent="0.35">
      <c r="A6" s="89"/>
      <c r="B6" s="89"/>
      <c r="C6" s="89"/>
      <c r="D6" s="89"/>
      <c r="E6" s="89"/>
      <c r="F6" s="89"/>
      <c r="G6" s="89"/>
      <c r="H6" s="89"/>
      <c r="I6" s="89"/>
      <c r="J6" s="89"/>
      <c r="K6" s="89"/>
      <c r="L6" s="89"/>
      <c r="M6" s="89"/>
      <c r="N6" s="89"/>
      <c r="O6" s="89"/>
      <c r="P6" s="89"/>
      <c r="Q6" s="89"/>
      <c r="R6" s="89"/>
      <c r="S6" s="89"/>
      <c r="T6" s="89"/>
      <c r="U6" s="190"/>
      <c r="V6" s="190"/>
      <c r="W6" s="190"/>
      <c r="X6" s="294"/>
      <c r="Y6" s="352" t="s">
        <v>215</v>
      </c>
      <c r="Z6" s="352"/>
      <c r="AA6" s="352"/>
      <c r="AB6" s="296"/>
      <c r="AC6" s="190"/>
      <c r="AD6" s="190"/>
      <c r="AE6" s="190"/>
      <c r="AF6" s="190"/>
      <c r="AG6" s="190"/>
      <c r="AH6" s="190"/>
      <c r="AI6" s="190"/>
      <c r="AJ6" s="190"/>
      <c r="AK6" s="190"/>
      <c r="AL6" s="190"/>
    </row>
    <row r="7" spans="1:38" x14ac:dyDescent="0.35">
      <c r="A7" s="89"/>
      <c r="B7" s="274"/>
      <c r="C7" s="355" t="s">
        <v>192</v>
      </c>
      <c r="D7" s="355"/>
      <c r="E7" s="275"/>
      <c r="F7" s="89"/>
      <c r="G7" s="89"/>
      <c r="H7" s="89"/>
      <c r="I7" s="89"/>
      <c r="J7" s="89"/>
      <c r="K7" s="89"/>
      <c r="L7" s="89"/>
      <c r="M7" s="89"/>
      <c r="N7" s="89"/>
      <c r="O7" s="89"/>
      <c r="P7" s="89"/>
      <c r="Q7" s="89"/>
      <c r="R7" s="89"/>
      <c r="S7" s="89"/>
      <c r="T7" s="89"/>
      <c r="U7" s="190"/>
      <c r="V7" s="190"/>
      <c r="W7" s="190"/>
      <c r="X7" s="293"/>
      <c r="Y7" s="352"/>
      <c r="Z7" s="352"/>
      <c r="AA7" s="352"/>
      <c r="AB7" s="296"/>
      <c r="AC7" s="190"/>
      <c r="AD7" s="190"/>
      <c r="AE7" s="190"/>
      <c r="AF7" s="190"/>
      <c r="AG7" s="190"/>
      <c r="AH7" s="190"/>
      <c r="AI7" s="190"/>
      <c r="AJ7" s="190"/>
      <c r="AK7" s="190"/>
      <c r="AL7" s="190"/>
    </row>
    <row r="8" spans="1:38" x14ac:dyDescent="0.35">
      <c r="A8" s="89"/>
      <c r="B8" s="34" t="s">
        <v>35</v>
      </c>
      <c r="C8" s="35" t="s">
        <v>179</v>
      </c>
      <c r="D8" s="35"/>
      <c r="E8" s="18"/>
      <c r="F8" s="89"/>
      <c r="G8" s="89"/>
      <c r="H8" s="89"/>
      <c r="I8" s="89"/>
      <c r="J8" s="89"/>
      <c r="K8" s="89"/>
      <c r="L8" s="89"/>
      <c r="M8" s="89"/>
      <c r="N8" s="89"/>
      <c r="O8" s="89"/>
      <c r="P8" s="89"/>
      <c r="Q8" s="89"/>
      <c r="R8" s="89"/>
      <c r="S8" s="89"/>
      <c r="T8" s="89"/>
      <c r="U8" s="190"/>
      <c r="V8" s="190"/>
      <c r="W8" s="190"/>
      <c r="X8" s="293"/>
      <c r="Y8" s="352"/>
      <c r="Z8" s="352"/>
      <c r="AA8" s="352"/>
      <c r="AB8" s="296"/>
      <c r="AC8" s="190"/>
      <c r="AD8" s="190"/>
      <c r="AE8" s="190"/>
      <c r="AF8" s="190"/>
      <c r="AG8" s="190"/>
      <c r="AH8" s="190"/>
      <c r="AI8" s="190"/>
      <c r="AJ8" s="190"/>
      <c r="AK8" s="190"/>
      <c r="AL8" s="190"/>
    </row>
    <row r="9" spans="1:38" x14ac:dyDescent="0.35">
      <c r="A9" s="89"/>
      <c r="B9" s="36" t="s">
        <v>119</v>
      </c>
      <c r="C9" s="356" t="s">
        <v>36</v>
      </c>
      <c r="D9" s="356"/>
      <c r="E9" s="337">
        <v>0.2</v>
      </c>
      <c r="F9" s="89"/>
      <c r="G9" s="89"/>
      <c r="H9" s="89"/>
      <c r="I9" s="89"/>
      <c r="J9" s="89"/>
      <c r="K9" s="89"/>
      <c r="L9" s="89"/>
      <c r="M9" s="89"/>
      <c r="N9" s="89"/>
      <c r="O9" s="89"/>
      <c r="P9" s="89"/>
      <c r="Q9" s="89"/>
      <c r="R9" s="89"/>
      <c r="S9" s="89"/>
      <c r="T9" s="89"/>
      <c r="U9" s="190"/>
      <c r="V9" s="190"/>
      <c r="W9" s="190"/>
      <c r="X9" s="293"/>
      <c r="Y9" s="351"/>
      <c r="Z9" s="351"/>
      <c r="AA9" s="351"/>
      <c r="AB9" s="296"/>
      <c r="AC9" s="190"/>
      <c r="AD9" s="190"/>
      <c r="AE9" s="190"/>
      <c r="AF9" s="190"/>
      <c r="AG9" s="190"/>
      <c r="AH9" s="190"/>
      <c r="AI9" s="190"/>
      <c r="AJ9" s="190"/>
      <c r="AK9" s="190"/>
      <c r="AL9" s="190"/>
    </row>
    <row r="10" spans="1:38" ht="30.75" customHeight="1" x14ac:dyDescent="0.35">
      <c r="A10" s="89"/>
      <c r="B10" s="188" t="s">
        <v>37</v>
      </c>
      <c r="C10" s="357" t="s">
        <v>39</v>
      </c>
      <c r="D10" s="357"/>
      <c r="E10" s="338">
        <v>0.3</v>
      </c>
      <c r="F10" s="89"/>
      <c r="G10" s="89"/>
      <c r="H10" s="89"/>
      <c r="I10" s="89"/>
      <c r="J10" s="89"/>
      <c r="K10" s="89"/>
      <c r="L10" s="89"/>
      <c r="M10" s="89"/>
      <c r="N10" s="89"/>
      <c r="O10" s="89"/>
      <c r="P10" s="89"/>
      <c r="Q10" s="89"/>
      <c r="R10" s="89"/>
      <c r="S10" s="89"/>
      <c r="T10" s="89"/>
      <c r="U10" s="190"/>
      <c r="V10" s="190"/>
      <c r="W10" s="190"/>
      <c r="X10" s="293"/>
      <c r="Y10" s="351"/>
      <c r="Z10" s="351"/>
      <c r="AA10" s="351"/>
      <c r="AB10" s="296"/>
      <c r="AC10" s="190"/>
      <c r="AD10" s="190"/>
      <c r="AE10" s="190"/>
      <c r="AF10" s="190"/>
      <c r="AG10" s="190"/>
      <c r="AH10" s="190"/>
      <c r="AI10" s="190"/>
      <c r="AJ10" s="190"/>
      <c r="AK10" s="190"/>
      <c r="AL10" s="190"/>
    </row>
    <row r="11" spans="1:38" ht="15.75" customHeight="1" x14ac:dyDescent="0.35">
      <c r="A11" s="89"/>
      <c r="B11" s="36" t="s">
        <v>245</v>
      </c>
      <c r="C11" s="109"/>
      <c r="D11" s="109"/>
      <c r="E11" s="18"/>
      <c r="F11" s="89"/>
      <c r="G11" s="89"/>
      <c r="H11" s="89"/>
      <c r="I11" s="89"/>
      <c r="J11" s="89"/>
      <c r="K11" s="89"/>
      <c r="L11" s="89"/>
      <c r="M11" s="89"/>
      <c r="N11" s="89"/>
      <c r="O11" s="89"/>
      <c r="P11" s="89"/>
      <c r="Q11" s="89"/>
      <c r="R11" s="89"/>
      <c r="S11" s="89"/>
      <c r="T11" s="89"/>
      <c r="U11" s="190"/>
      <c r="V11" s="190"/>
      <c r="W11" s="190"/>
      <c r="X11" s="295"/>
      <c r="Y11" s="295"/>
      <c r="Z11" s="295"/>
      <c r="AA11" s="295"/>
      <c r="AB11" s="295"/>
      <c r="AC11" s="190"/>
      <c r="AD11" s="190"/>
      <c r="AE11" s="190"/>
      <c r="AF11" s="190"/>
      <c r="AG11" s="190"/>
      <c r="AH11" s="190"/>
      <c r="AI11" s="190"/>
      <c r="AJ11" s="190"/>
      <c r="AK11" s="190"/>
      <c r="AL11" s="190"/>
    </row>
    <row r="12" spans="1:38" ht="15.75" customHeight="1" x14ac:dyDescent="0.35">
      <c r="A12" s="89"/>
      <c r="B12" s="36" t="s">
        <v>217</v>
      </c>
      <c r="E12" s="93"/>
      <c r="F12" s="89"/>
      <c r="G12" s="89"/>
      <c r="H12" s="89"/>
      <c r="I12" s="89"/>
      <c r="J12" s="89"/>
      <c r="K12" s="89"/>
      <c r="L12" s="89"/>
      <c r="M12" s="89"/>
      <c r="N12" s="89"/>
      <c r="O12" s="89"/>
      <c r="P12" s="89"/>
      <c r="Q12" s="89"/>
      <c r="R12" s="89"/>
      <c r="S12" s="89"/>
      <c r="T12" s="89"/>
      <c r="U12" s="190"/>
      <c r="V12" s="190"/>
      <c r="W12" s="190"/>
      <c r="X12" s="295"/>
      <c r="Y12" s="295"/>
      <c r="Z12" s="295"/>
      <c r="AA12" s="295"/>
      <c r="AB12" s="295"/>
      <c r="AC12" s="190"/>
      <c r="AD12" s="190"/>
      <c r="AE12" s="190"/>
      <c r="AF12" s="190"/>
      <c r="AG12" s="190"/>
      <c r="AH12" s="190"/>
      <c r="AI12" s="190"/>
      <c r="AJ12" s="190"/>
      <c r="AK12" s="190"/>
      <c r="AL12" s="190"/>
    </row>
    <row r="13" spans="1:38" x14ac:dyDescent="0.35">
      <c r="A13" s="89"/>
      <c r="B13" s="36" t="s">
        <v>246</v>
      </c>
      <c r="E13" s="93"/>
      <c r="F13" s="89"/>
      <c r="G13" s="89"/>
      <c r="H13" s="89"/>
      <c r="I13" s="89"/>
      <c r="J13" s="89"/>
      <c r="K13" s="89"/>
      <c r="L13" s="89"/>
      <c r="M13" s="89"/>
      <c r="N13" s="89"/>
      <c r="O13" s="89"/>
      <c r="P13" s="89"/>
      <c r="Q13" s="89"/>
      <c r="R13" s="89"/>
      <c r="S13" s="89"/>
      <c r="T13" s="89"/>
      <c r="U13" s="190"/>
      <c r="V13" s="190"/>
      <c r="W13" s="190"/>
      <c r="X13" s="295"/>
      <c r="Y13" s="295"/>
      <c r="Z13" s="295"/>
      <c r="AA13" s="295"/>
      <c r="AB13" s="295"/>
      <c r="AC13" s="190"/>
      <c r="AD13" s="190"/>
      <c r="AE13" s="190"/>
      <c r="AF13" s="190"/>
      <c r="AG13" s="190"/>
      <c r="AH13" s="190"/>
      <c r="AI13" s="190"/>
      <c r="AJ13" s="190"/>
      <c r="AK13" s="190"/>
      <c r="AL13" s="190"/>
    </row>
    <row r="14" spans="1:38" x14ac:dyDescent="0.35">
      <c r="A14" s="89"/>
      <c r="B14" s="37" t="s">
        <v>236</v>
      </c>
      <c r="C14" s="299"/>
      <c r="D14" s="299"/>
      <c r="E14" s="339">
        <v>275</v>
      </c>
      <c r="F14" s="89"/>
      <c r="G14" s="89"/>
      <c r="H14" s="89"/>
      <c r="I14" s="186"/>
      <c r="J14" s="186"/>
      <c r="K14" s="186"/>
      <c r="L14" s="186"/>
      <c r="M14" s="186"/>
      <c r="N14" s="186"/>
      <c r="O14" s="186"/>
      <c r="P14" s="186"/>
      <c r="Q14" s="186"/>
      <c r="R14" s="186"/>
      <c r="S14" s="186"/>
      <c r="T14" s="186"/>
      <c r="U14" s="190"/>
      <c r="V14" s="190"/>
      <c r="W14" s="190"/>
      <c r="X14" s="295"/>
      <c r="Y14" s="295"/>
      <c r="Z14" s="295"/>
      <c r="AA14" s="295"/>
      <c r="AB14" s="295"/>
      <c r="AC14" s="190"/>
      <c r="AD14" s="190"/>
      <c r="AE14" s="190"/>
      <c r="AF14" s="190"/>
      <c r="AG14" s="190"/>
      <c r="AH14" s="190"/>
      <c r="AI14" s="190"/>
      <c r="AJ14" s="190"/>
      <c r="AK14" s="190"/>
      <c r="AL14" s="190"/>
    </row>
    <row r="15" spans="1:38" ht="12" customHeight="1" x14ac:dyDescent="0.35">
      <c r="A15" s="89"/>
      <c r="B15" s="89"/>
      <c r="C15" s="89"/>
      <c r="D15" s="89"/>
      <c r="E15" s="89"/>
      <c r="I15" s="187"/>
      <c r="J15" s="187"/>
      <c r="K15" s="187"/>
      <c r="L15" s="187"/>
      <c r="M15" s="187"/>
      <c r="N15" s="187"/>
      <c r="O15" s="187"/>
      <c r="P15" s="187"/>
      <c r="Q15" s="187"/>
      <c r="R15" s="187"/>
      <c r="S15" s="187"/>
      <c r="T15" s="187"/>
      <c r="U15" s="190"/>
      <c r="V15" s="190"/>
      <c r="W15" s="190"/>
      <c r="X15" s="295"/>
      <c r="Y15" s="295"/>
      <c r="Z15" s="295"/>
      <c r="AA15" s="295"/>
      <c r="AB15" s="295"/>
      <c r="AC15" s="190"/>
      <c r="AD15" s="190"/>
      <c r="AE15" s="190"/>
      <c r="AF15" s="190"/>
      <c r="AG15" s="190"/>
      <c r="AH15" s="190"/>
      <c r="AI15" s="190"/>
      <c r="AJ15" s="190"/>
      <c r="AK15" s="190"/>
      <c r="AL15" s="190"/>
    </row>
    <row r="16" spans="1:38" ht="15.75" customHeight="1" x14ac:dyDescent="0.35">
      <c r="A16" s="89"/>
      <c r="B16" s="354" t="s">
        <v>235</v>
      </c>
      <c r="C16" s="354"/>
      <c r="D16" s="354"/>
      <c r="E16" s="340">
        <v>0.3</v>
      </c>
      <c r="F16" s="353" t="s">
        <v>78</v>
      </c>
      <c r="G16" s="353"/>
      <c r="H16" s="341">
        <v>40</v>
      </c>
      <c r="I16" s="186"/>
      <c r="J16" s="186"/>
      <c r="K16" s="186"/>
      <c r="L16" s="186"/>
      <c r="M16" s="186"/>
      <c r="N16" s="186"/>
      <c r="O16" s="186"/>
      <c r="P16" s="186"/>
      <c r="Q16" s="186"/>
      <c r="R16" s="186"/>
      <c r="S16" s="186"/>
      <c r="T16" s="186"/>
      <c r="U16" s="190"/>
      <c r="V16" s="190"/>
      <c r="W16" s="190"/>
      <c r="X16" s="190"/>
      <c r="Y16" s="190"/>
      <c r="Z16" s="190"/>
      <c r="AA16" s="190"/>
      <c r="AB16" s="190"/>
      <c r="AC16" s="190"/>
      <c r="AD16" s="190"/>
      <c r="AE16" s="190"/>
      <c r="AF16" s="190"/>
      <c r="AG16" s="190"/>
      <c r="AH16" s="190"/>
      <c r="AI16" s="190"/>
      <c r="AJ16" s="190"/>
      <c r="AK16" s="190"/>
      <c r="AL16" s="190"/>
    </row>
    <row r="17" spans="1:38" ht="15.75" customHeight="1" x14ac:dyDescent="0.35">
      <c r="A17" s="89"/>
      <c r="B17" s="89"/>
      <c r="C17" s="89"/>
      <c r="D17" s="32" t="s">
        <v>234</v>
      </c>
      <c r="E17" s="340">
        <v>0.3</v>
      </c>
      <c r="F17" s="318" t="s">
        <v>260</v>
      </c>
      <c r="G17" s="318"/>
      <c r="H17" s="89"/>
      <c r="I17" s="186"/>
      <c r="J17" s="186"/>
      <c r="K17" s="186"/>
      <c r="L17" s="186"/>
      <c r="M17" s="186"/>
      <c r="N17" s="186"/>
      <c r="O17" s="186"/>
      <c r="P17" s="186"/>
      <c r="Q17" s="186"/>
      <c r="R17" s="186"/>
      <c r="S17" s="186"/>
      <c r="T17" s="186"/>
      <c r="U17" s="190"/>
      <c r="V17" s="190"/>
      <c r="W17" s="190"/>
      <c r="X17" s="190"/>
      <c r="Y17" s="190"/>
      <c r="Z17" s="190"/>
      <c r="AA17" s="190"/>
      <c r="AB17" s="190"/>
      <c r="AC17" s="190"/>
      <c r="AD17" s="190"/>
      <c r="AE17" s="190"/>
      <c r="AF17" s="190"/>
      <c r="AG17" s="190"/>
      <c r="AH17" s="190"/>
      <c r="AI17" s="190"/>
      <c r="AJ17" s="190"/>
      <c r="AK17" s="190"/>
      <c r="AL17" s="190"/>
    </row>
    <row r="18" spans="1:38" ht="15.75" customHeight="1" x14ac:dyDescent="0.35">
      <c r="A18" s="89"/>
      <c r="B18" s="89"/>
      <c r="C18" s="89"/>
      <c r="D18" s="89"/>
      <c r="E18" s="89"/>
      <c r="F18" s="89"/>
      <c r="G18" s="89"/>
      <c r="H18" s="89"/>
      <c r="I18" s="186"/>
      <c r="J18" s="186"/>
      <c r="K18" s="186"/>
      <c r="L18" s="186"/>
      <c r="M18" s="186"/>
      <c r="N18" s="186"/>
      <c r="O18" s="186"/>
      <c r="P18" s="186"/>
      <c r="Q18" s="186"/>
      <c r="R18" s="186"/>
      <c r="S18" s="186"/>
      <c r="T18" s="186"/>
      <c r="U18" s="190"/>
      <c r="V18" s="190"/>
      <c r="W18" s="190"/>
      <c r="X18" s="190"/>
      <c r="Y18" s="190"/>
      <c r="Z18" s="190"/>
      <c r="AA18" s="190"/>
      <c r="AB18" s="190"/>
      <c r="AC18" s="190"/>
      <c r="AD18" s="190"/>
      <c r="AE18" s="190"/>
      <c r="AF18" s="190"/>
      <c r="AG18" s="190"/>
      <c r="AH18" s="190"/>
      <c r="AI18" s="190"/>
      <c r="AJ18" s="190"/>
      <c r="AK18" s="190"/>
      <c r="AL18" s="190"/>
    </row>
    <row r="19" spans="1:38" ht="15.75" customHeight="1" x14ac:dyDescent="0.35">
      <c r="A19" s="89"/>
      <c r="B19" s="89"/>
      <c r="C19" s="89"/>
      <c r="D19" s="89"/>
      <c r="E19" s="89"/>
      <c r="F19" s="89"/>
      <c r="G19" s="89"/>
      <c r="H19" s="89"/>
      <c r="I19" s="186"/>
      <c r="J19" s="186"/>
      <c r="K19" s="186"/>
      <c r="L19" s="186"/>
      <c r="M19" s="186"/>
      <c r="N19" s="186"/>
      <c r="O19" s="186"/>
      <c r="P19" s="186"/>
      <c r="Q19" s="186"/>
      <c r="R19" s="186"/>
      <c r="S19" s="186"/>
      <c r="T19" s="186"/>
      <c r="U19" s="190"/>
      <c r="V19" s="190"/>
      <c r="W19" s="190"/>
      <c r="X19" s="190"/>
      <c r="Y19" s="190"/>
      <c r="Z19" s="190"/>
      <c r="AA19" s="190"/>
      <c r="AB19" s="190"/>
      <c r="AC19" s="190"/>
      <c r="AD19" s="190"/>
      <c r="AE19" s="190"/>
      <c r="AF19" s="190"/>
      <c r="AG19" s="190"/>
      <c r="AH19" s="190"/>
      <c r="AI19" s="190"/>
      <c r="AJ19" s="190"/>
      <c r="AK19" s="190"/>
      <c r="AL19" s="190"/>
    </row>
    <row r="20" spans="1:38" ht="15.75" customHeight="1" x14ac:dyDescent="0.35">
      <c r="A20" s="89"/>
      <c r="B20" s="89"/>
      <c r="C20" s="89"/>
      <c r="D20" s="89"/>
      <c r="E20" s="89"/>
      <c r="F20" s="89"/>
      <c r="G20" s="89"/>
      <c r="H20" s="89"/>
      <c r="I20" s="186"/>
      <c r="J20" s="186"/>
      <c r="K20" s="186"/>
      <c r="L20" s="186"/>
      <c r="M20" s="186"/>
      <c r="N20" s="186"/>
      <c r="O20" s="186"/>
      <c r="P20" s="186"/>
      <c r="Q20" s="186"/>
      <c r="R20" s="186"/>
      <c r="S20" s="186"/>
      <c r="T20" s="186"/>
      <c r="U20" s="190"/>
      <c r="V20" s="190"/>
      <c r="W20" s="190"/>
      <c r="X20" s="190"/>
      <c r="Y20" s="190"/>
      <c r="Z20" s="190"/>
      <c r="AA20" s="190"/>
      <c r="AB20" s="190"/>
      <c r="AC20" s="190"/>
      <c r="AD20" s="190"/>
      <c r="AE20" s="190"/>
      <c r="AF20" s="190"/>
      <c r="AG20" s="190"/>
      <c r="AH20" s="190"/>
      <c r="AI20" s="190"/>
      <c r="AJ20" s="190"/>
      <c r="AK20" s="190"/>
      <c r="AL20" s="190"/>
    </row>
    <row r="21" spans="1:38" s="191" customFormat="1" ht="30" customHeight="1" x14ac:dyDescent="0.35">
      <c r="A21" s="189"/>
      <c r="B21" s="189" t="s">
        <v>193</v>
      </c>
      <c r="C21" s="190"/>
      <c r="D21" s="190"/>
      <c r="E21" s="190"/>
      <c r="F21" s="190"/>
      <c r="G21" s="190"/>
      <c r="H21" s="190"/>
      <c r="I21" s="190"/>
      <c r="J21" s="190"/>
      <c r="K21" s="190"/>
      <c r="L21" s="190"/>
      <c r="M21" s="190"/>
      <c r="N21" s="190"/>
      <c r="O21" s="190"/>
      <c r="P21" s="190"/>
      <c r="Q21" s="190"/>
      <c r="R21" s="190"/>
      <c r="S21" s="190"/>
      <c r="T21" s="190"/>
      <c r="U21" s="190"/>
      <c r="V21" s="190"/>
      <c r="W21" s="190"/>
      <c r="X21" s="190"/>
      <c r="Y21" s="190"/>
      <c r="Z21" s="190"/>
      <c r="AA21" s="190"/>
      <c r="AB21" s="190"/>
      <c r="AC21" s="190"/>
      <c r="AD21" s="190"/>
      <c r="AE21" s="190"/>
      <c r="AF21" s="190"/>
      <c r="AG21" s="190"/>
      <c r="AH21" s="190"/>
      <c r="AI21" s="190"/>
      <c r="AJ21" s="190"/>
      <c r="AK21" s="190"/>
      <c r="AL21" s="190"/>
    </row>
    <row r="22" spans="1:38" x14ac:dyDescent="0.35">
      <c r="A22" s="89"/>
      <c r="B22" s="89"/>
      <c r="C22" s="89"/>
      <c r="D22" s="89"/>
      <c r="E22" s="89"/>
      <c r="F22" s="89"/>
      <c r="G22" s="89"/>
      <c r="H22" s="89"/>
      <c r="I22" s="89"/>
      <c r="J22" s="89"/>
      <c r="K22" s="89"/>
      <c r="L22" s="89"/>
      <c r="M22" s="89"/>
      <c r="N22" s="89"/>
      <c r="O22" s="89"/>
      <c r="P22" s="89"/>
      <c r="Q22" s="89"/>
      <c r="R22" s="89"/>
      <c r="S22" s="89"/>
      <c r="T22" s="89"/>
      <c r="U22" s="190"/>
      <c r="V22" s="190"/>
      <c r="W22" s="190"/>
      <c r="X22" s="190"/>
      <c r="Y22" s="190"/>
      <c r="Z22" s="190"/>
      <c r="AA22" s="190"/>
      <c r="AB22" s="190"/>
      <c r="AC22" s="190"/>
      <c r="AD22" s="190"/>
      <c r="AE22" s="190"/>
      <c r="AF22" s="190"/>
      <c r="AG22" s="190"/>
      <c r="AH22" s="190"/>
      <c r="AI22" s="190"/>
      <c r="AJ22" s="190"/>
      <c r="AK22" s="190"/>
      <c r="AL22" s="190"/>
    </row>
    <row r="23" spans="1:38" x14ac:dyDescent="0.35">
      <c r="A23" s="89"/>
      <c r="B23" s="89"/>
      <c r="C23" s="103"/>
      <c r="D23" s="104" t="s">
        <v>67</v>
      </c>
      <c r="E23" s="342">
        <v>0.375</v>
      </c>
      <c r="F23" s="104"/>
      <c r="G23" s="89"/>
      <c r="H23" s="89"/>
      <c r="I23" s="89"/>
      <c r="J23" s="89"/>
      <c r="K23" s="89"/>
      <c r="L23" s="89"/>
      <c r="M23" s="89"/>
      <c r="N23" s="89"/>
      <c r="O23" s="89"/>
      <c r="P23" s="89"/>
      <c r="Q23" s="89"/>
      <c r="R23" s="89"/>
      <c r="S23" s="89"/>
      <c r="T23" s="89"/>
      <c r="U23" s="190"/>
      <c r="V23" s="190"/>
      <c r="W23" s="190"/>
      <c r="X23" s="190"/>
      <c r="Y23" s="190"/>
      <c r="Z23" s="190"/>
      <c r="AA23" s="190"/>
      <c r="AB23" s="190"/>
      <c r="AC23" s="190"/>
      <c r="AD23" s="190"/>
      <c r="AE23" s="190"/>
      <c r="AF23" s="190"/>
      <c r="AG23" s="190"/>
      <c r="AH23" s="190"/>
      <c r="AI23" s="190"/>
      <c r="AJ23" s="190"/>
      <c r="AK23" s="190"/>
      <c r="AL23" s="190"/>
    </row>
    <row r="24" spans="1:38" x14ac:dyDescent="0.35">
      <c r="A24" s="89"/>
      <c r="B24" s="89"/>
      <c r="C24" s="89"/>
      <c r="D24" s="104" t="s">
        <v>194</v>
      </c>
      <c r="E24" s="343">
        <v>0.25</v>
      </c>
      <c r="F24" s="103"/>
      <c r="G24" s="89"/>
      <c r="H24" s="89"/>
      <c r="I24" s="186"/>
      <c r="J24" s="186"/>
      <c r="K24" s="186"/>
      <c r="L24" s="186"/>
      <c r="M24" s="186"/>
      <c r="N24" s="186"/>
      <c r="O24" s="186"/>
      <c r="P24" s="186"/>
      <c r="Q24" s="186"/>
      <c r="R24" s="186"/>
      <c r="S24" s="186"/>
      <c r="T24" s="186"/>
      <c r="U24" s="190"/>
      <c r="V24" s="190"/>
      <c r="W24" s="190"/>
      <c r="X24" s="190"/>
      <c r="Y24" s="190"/>
      <c r="Z24" s="190"/>
      <c r="AA24" s="190"/>
      <c r="AB24" s="190"/>
      <c r="AC24" s="190"/>
      <c r="AD24" s="190"/>
      <c r="AE24" s="190"/>
      <c r="AF24" s="190"/>
      <c r="AG24" s="190"/>
      <c r="AH24" s="190"/>
      <c r="AI24" s="190"/>
      <c r="AJ24" s="190"/>
      <c r="AK24" s="190"/>
      <c r="AL24" s="190"/>
    </row>
    <row r="25" spans="1:38" ht="15.75" customHeight="1" x14ac:dyDescent="0.35">
      <c r="A25" s="89"/>
      <c r="B25" s="89"/>
      <c r="C25" s="89"/>
      <c r="D25" s="89"/>
      <c r="E25" s="89"/>
      <c r="F25" s="89"/>
      <c r="G25" s="89"/>
      <c r="H25" s="89"/>
      <c r="I25" s="186"/>
      <c r="J25" s="186"/>
      <c r="K25" s="186"/>
      <c r="L25" s="186"/>
      <c r="M25" s="186"/>
      <c r="N25" s="186"/>
      <c r="O25" s="186"/>
      <c r="P25" s="186"/>
      <c r="Q25" s="186"/>
      <c r="R25" s="186"/>
      <c r="S25" s="186"/>
      <c r="T25" s="186"/>
      <c r="U25" s="190"/>
      <c r="V25" s="190"/>
      <c r="W25" s="190"/>
      <c r="X25" s="190"/>
      <c r="Y25" s="190"/>
      <c r="Z25" s="190"/>
      <c r="AA25" s="190"/>
      <c r="AB25" s="190"/>
      <c r="AC25" s="190"/>
      <c r="AD25" s="190"/>
      <c r="AE25" s="190"/>
      <c r="AF25" s="190"/>
      <c r="AG25" s="190"/>
      <c r="AH25" s="190"/>
      <c r="AI25" s="190"/>
      <c r="AJ25" s="190"/>
      <c r="AK25" s="190"/>
      <c r="AL25" s="190"/>
    </row>
    <row r="26" spans="1:38" x14ac:dyDescent="0.35">
      <c r="A26" s="89"/>
      <c r="B26" s="211" t="s">
        <v>162</v>
      </c>
      <c r="C26" s="345">
        <v>70</v>
      </c>
      <c r="D26" s="212" t="s">
        <v>142</v>
      </c>
      <c r="E26" s="344">
        <v>0.5</v>
      </c>
      <c r="F26" s="89" t="s">
        <v>243</v>
      </c>
      <c r="G26" s="89"/>
      <c r="H26" s="89"/>
      <c r="I26" s="89"/>
      <c r="J26" s="89"/>
      <c r="K26" s="89"/>
      <c r="L26" s="186"/>
      <c r="M26" s="186"/>
      <c r="N26" s="186"/>
      <c r="O26" s="186"/>
      <c r="P26" s="186"/>
      <c r="Q26" s="186"/>
      <c r="R26" s="186"/>
      <c r="S26" s="186"/>
      <c r="T26" s="186"/>
      <c r="U26" s="190"/>
      <c r="V26" s="190"/>
      <c r="W26" s="190"/>
      <c r="X26" s="190"/>
      <c r="Y26" s="190"/>
      <c r="Z26" s="190"/>
      <c r="AA26" s="190"/>
      <c r="AB26" s="190"/>
      <c r="AC26" s="190"/>
      <c r="AD26" s="190"/>
      <c r="AE26" s="190"/>
      <c r="AF26" s="190"/>
      <c r="AG26" s="190"/>
      <c r="AH26" s="190"/>
      <c r="AI26" s="190"/>
      <c r="AJ26" s="190"/>
      <c r="AK26" s="190"/>
      <c r="AL26" s="190"/>
    </row>
    <row r="27" spans="1:38" x14ac:dyDescent="0.35">
      <c r="A27" s="89"/>
      <c r="B27" s="89"/>
      <c r="C27" s="89"/>
      <c r="D27" s="89"/>
      <c r="E27" s="89"/>
      <c r="F27" s="89"/>
      <c r="G27" s="89"/>
      <c r="H27" s="89"/>
      <c r="I27" s="89"/>
      <c r="J27" s="89"/>
      <c r="K27" s="89"/>
      <c r="L27" s="89"/>
      <c r="M27" s="89"/>
      <c r="N27" s="89"/>
      <c r="O27" s="89"/>
      <c r="P27" s="89"/>
      <c r="Q27" s="89"/>
      <c r="R27" s="89"/>
      <c r="S27" s="89"/>
      <c r="T27" s="89"/>
      <c r="U27" s="190"/>
      <c r="V27" s="190"/>
      <c r="W27" s="190"/>
      <c r="X27" s="190"/>
      <c r="Y27" s="190"/>
      <c r="Z27" s="190"/>
      <c r="AA27" s="190"/>
      <c r="AB27" s="190"/>
      <c r="AC27" s="190"/>
      <c r="AD27" s="190"/>
      <c r="AE27" s="190"/>
      <c r="AF27" s="190"/>
      <c r="AG27" s="190"/>
      <c r="AH27" s="190"/>
      <c r="AI27" s="190"/>
      <c r="AJ27" s="190"/>
      <c r="AK27" s="190"/>
      <c r="AL27" s="190"/>
    </row>
    <row r="28" spans="1:38" x14ac:dyDescent="0.35">
      <c r="A28" s="89"/>
      <c r="B28" s="196" t="s">
        <v>250</v>
      </c>
      <c r="C28" s="346">
        <v>5.0000000000000001E-3</v>
      </c>
      <c r="D28" s="197" t="s">
        <v>90</v>
      </c>
      <c r="E28" s="198"/>
      <c r="F28" s="198"/>
      <c r="G28" s="199"/>
      <c r="H28" s="194"/>
      <c r="I28" s="89"/>
      <c r="J28" s="89"/>
      <c r="K28" s="89"/>
      <c r="L28" s="89"/>
      <c r="M28" s="89"/>
      <c r="N28" s="89"/>
      <c r="O28" s="89"/>
      <c r="P28" s="89"/>
      <c r="Q28" s="89"/>
      <c r="R28" s="89"/>
      <c r="S28" s="89"/>
      <c r="T28" s="89"/>
      <c r="U28" s="190"/>
      <c r="V28" s="190"/>
      <c r="W28" s="190"/>
      <c r="X28" s="190"/>
      <c r="Y28" s="190"/>
      <c r="Z28" s="190"/>
      <c r="AA28" s="190"/>
      <c r="AB28" s="190"/>
      <c r="AC28" s="190"/>
      <c r="AD28" s="190"/>
      <c r="AE28" s="190"/>
      <c r="AF28" s="190"/>
      <c r="AG28" s="190"/>
      <c r="AH28" s="190"/>
      <c r="AI28" s="190"/>
      <c r="AJ28" s="190"/>
      <c r="AK28" s="190"/>
      <c r="AL28" s="190"/>
    </row>
    <row r="29" spans="1:38" x14ac:dyDescent="0.35">
      <c r="A29" s="89"/>
      <c r="B29" s="200" t="s">
        <v>140</v>
      </c>
      <c r="C29" s="347">
        <v>200</v>
      </c>
      <c r="D29" s="195" t="s">
        <v>91</v>
      </c>
      <c r="E29" s="195"/>
      <c r="F29" s="195"/>
      <c r="G29" s="201"/>
      <c r="H29" s="89"/>
      <c r="I29" s="89"/>
      <c r="J29" s="89"/>
      <c r="K29" s="89"/>
      <c r="L29" s="89"/>
      <c r="M29" s="89"/>
      <c r="N29" s="89"/>
      <c r="O29" s="89"/>
      <c r="P29" s="89"/>
      <c r="Q29" s="89"/>
      <c r="R29" s="89"/>
      <c r="S29" s="89"/>
      <c r="T29" s="89"/>
      <c r="U29" s="190"/>
      <c r="V29" s="190"/>
      <c r="W29" s="190"/>
      <c r="X29" s="190"/>
      <c r="Y29" s="190"/>
      <c r="Z29" s="190"/>
      <c r="AA29" s="190"/>
      <c r="AB29" s="190"/>
      <c r="AC29" s="190"/>
      <c r="AD29" s="190"/>
      <c r="AE29" s="190"/>
      <c r="AF29" s="190"/>
      <c r="AG29" s="190"/>
      <c r="AH29" s="190"/>
      <c r="AI29" s="190"/>
      <c r="AJ29" s="190"/>
      <c r="AK29" s="190"/>
      <c r="AL29" s="190"/>
    </row>
    <row r="30" spans="1:38" x14ac:dyDescent="0.35">
      <c r="A30" s="89"/>
      <c r="B30" s="202"/>
      <c r="C30" s="347">
        <v>4200</v>
      </c>
      <c r="D30" s="195" t="s">
        <v>92</v>
      </c>
      <c r="E30" s="195"/>
      <c r="F30" s="195"/>
      <c r="G30" s="201"/>
      <c r="H30" s="89"/>
      <c r="I30" s="89"/>
      <c r="J30" s="89"/>
      <c r="K30" s="89"/>
      <c r="L30" s="89"/>
      <c r="M30" s="89"/>
      <c r="N30" s="89"/>
      <c r="O30" s="89"/>
      <c r="P30" s="89"/>
      <c r="Q30" s="89"/>
      <c r="R30" s="89"/>
      <c r="S30" s="89"/>
      <c r="T30" s="89"/>
      <c r="U30" s="190"/>
      <c r="V30" s="190"/>
      <c r="W30" s="190"/>
      <c r="X30" s="190"/>
      <c r="Y30" s="190"/>
      <c r="Z30" s="190"/>
      <c r="AA30" s="190"/>
      <c r="AB30" s="190"/>
      <c r="AC30" s="190"/>
      <c r="AD30" s="190"/>
      <c r="AE30" s="190"/>
      <c r="AF30" s="190"/>
      <c r="AG30" s="190"/>
      <c r="AH30" s="190"/>
      <c r="AI30" s="190"/>
      <c r="AJ30" s="190"/>
      <c r="AK30" s="190"/>
      <c r="AL30" s="190"/>
    </row>
    <row r="31" spans="1:38" x14ac:dyDescent="0.35">
      <c r="A31" s="89"/>
      <c r="B31" s="202"/>
      <c r="C31" s="347">
        <v>100</v>
      </c>
      <c r="D31" s="195" t="s">
        <v>122</v>
      </c>
      <c r="E31" s="195"/>
      <c r="F31" s="195"/>
      <c r="G31" s="201"/>
      <c r="H31" s="89"/>
      <c r="I31" s="89"/>
      <c r="J31" s="89"/>
      <c r="K31" s="89"/>
      <c r="L31" s="89"/>
      <c r="M31" s="89"/>
      <c r="N31" s="89"/>
      <c r="O31" s="89"/>
      <c r="P31" s="89"/>
      <c r="Q31" s="89"/>
      <c r="R31" s="89"/>
      <c r="S31" s="89"/>
      <c r="T31" s="89"/>
      <c r="U31" s="190"/>
      <c r="V31" s="190"/>
      <c r="W31" s="190"/>
      <c r="X31" s="190"/>
      <c r="Y31" s="190"/>
      <c r="Z31" s="190"/>
      <c r="AA31" s="190"/>
      <c r="AB31" s="190"/>
      <c r="AC31" s="190"/>
      <c r="AD31" s="190"/>
      <c r="AE31" s="190"/>
      <c r="AF31" s="190"/>
      <c r="AG31" s="190"/>
      <c r="AH31" s="190"/>
      <c r="AI31" s="190"/>
      <c r="AJ31" s="190"/>
      <c r="AK31" s="190"/>
      <c r="AL31" s="190"/>
    </row>
    <row r="32" spans="1:38" x14ac:dyDescent="0.35">
      <c r="A32" s="89"/>
      <c r="B32" s="203"/>
      <c r="C32" s="83">
        <f>C28*VLOOKUP(G43,Revenues!M4:N31,2,FALSE)*1000000</f>
        <v>45790</v>
      </c>
      <c r="D32" s="204" t="s">
        <v>139</v>
      </c>
      <c r="E32" s="204"/>
      <c r="F32" s="204"/>
      <c r="G32" s="205"/>
      <c r="H32" s="89"/>
      <c r="I32" s="89"/>
      <c r="J32" s="89"/>
      <c r="K32" s="89"/>
      <c r="L32" s="89"/>
      <c r="M32" s="89"/>
      <c r="N32" s="89"/>
      <c r="O32" s="89"/>
      <c r="P32" s="89"/>
      <c r="Q32" s="89"/>
      <c r="R32" s="89"/>
      <c r="S32" s="89"/>
      <c r="T32" s="89"/>
      <c r="U32" s="190"/>
      <c r="V32" s="190"/>
      <c r="W32" s="190"/>
      <c r="X32" s="190"/>
      <c r="Y32" s="190"/>
      <c r="Z32" s="190"/>
      <c r="AA32" s="190"/>
      <c r="AB32" s="190"/>
      <c r="AC32" s="190"/>
      <c r="AD32" s="190"/>
      <c r="AE32" s="190"/>
      <c r="AF32" s="190"/>
      <c r="AG32" s="190"/>
      <c r="AH32" s="190"/>
      <c r="AI32" s="190"/>
      <c r="AJ32" s="190"/>
      <c r="AK32" s="190"/>
      <c r="AL32" s="190"/>
    </row>
    <row r="33" spans="1:38" x14ac:dyDescent="0.35">
      <c r="A33" s="89"/>
      <c r="B33" s="89"/>
      <c r="C33" s="89"/>
      <c r="D33" s="89"/>
      <c r="E33" s="89"/>
      <c r="F33" s="89"/>
      <c r="G33" s="89"/>
      <c r="H33" s="89"/>
      <c r="I33" s="89"/>
      <c r="J33" s="89"/>
      <c r="K33" s="89"/>
      <c r="L33" s="89"/>
      <c r="M33" s="89"/>
      <c r="N33" s="89"/>
      <c r="O33" s="89"/>
      <c r="P33" s="89"/>
      <c r="Q33" s="89"/>
      <c r="R33" s="89"/>
      <c r="S33" s="89"/>
      <c r="T33" s="89"/>
      <c r="U33" s="190"/>
      <c r="V33" s="190"/>
      <c r="W33" s="190"/>
      <c r="X33" s="190"/>
      <c r="Y33" s="190"/>
      <c r="Z33" s="190"/>
      <c r="AA33" s="190"/>
      <c r="AB33" s="190"/>
      <c r="AC33" s="190"/>
      <c r="AD33" s="190"/>
      <c r="AE33" s="190"/>
      <c r="AF33" s="190"/>
      <c r="AG33" s="190"/>
      <c r="AH33" s="190"/>
      <c r="AI33" s="190"/>
      <c r="AJ33" s="190"/>
      <c r="AK33" s="190"/>
      <c r="AL33" s="190"/>
    </row>
    <row r="34" spans="1:38" ht="30" x14ac:dyDescent="0.35">
      <c r="A34" s="89"/>
      <c r="B34" s="209" t="s">
        <v>238</v>
      </c>
      <c r="C34" s="348">
        <v>0.1</v>
      </c>
      <c r="D34" s="109" t="s">
        <v>138</v>
      </c>
      <c r="E34" s="109"/>
      <c r="F34" s="206"/>
      <c r="G34" s="207"/>
      <c r="H34" s="89"/>
      <c r="I34" s="89"/>
      <c r="J34" s="89"/>
      <c r="K34" s="89"/>
      <c r="L34" s="89"/>
      <c r="M34" s="89"/>
      <c r="N34" s="89"/>
      <c r="O34" s="89"/>
      <c r="P34" s="89"/>
      <c r="Q34" s="89"/>
      <c r="R34" s="89"/>
      <c r="S34" s="89"/>
      <c r="T34" s="89"/>
      <c r="U34" s="190"/>
      <c r="V34" s="190"/>
      <c r="W34" s="190"/>
      <c r="X34" s="190"/>
      <c r="Y34" s="190"/>
      <c r="Z34" s="190"/>
      <c r="AA34" s="190"/>
      <c r="AB34" s="190"/>
      <c r="AC34" s="190"/>
      <c r="AD34" s="190"/>
      <c r="AE34" s="190"/>
      <c r="AF34" s="190"/>
      <c r="AG34" s="190"/>
      <c r="AH34" s="190"/>
      <c r="AI34" s="190"/>
      <c r="AJ34" s="190"/>
      <c r="AK34" s="190"/>
      <c r="AL34" s="190"/>
    </row>
    <row r="35" spans="1:38" x14ac:dyDescent="0.35">
      <c r="A35" s="89"/>
      <c r="B35" s="202"/>
      <c r="C35" s="349">
        <v>0.5</v>
      </c>
      <c r="D35" t="s">
        <v>114</v>
      </c>
      <c r="F35" s="195"/>
      <c r="G35" s="201"/>
      <c r="H35" s="89"/>
      <c r="I35" s="89"/>
      <c r="J35" s="89"/>
      <c r="K35" s="89"/>
      <c r="L35" s="89"/>
      <c r="M35" s="89"/>
      <c r="N35" s="89"/>
      <c r="O35" s="89"/>
      <c r="P35" s="89"/>
      <c r="Q35" s="89"/>
      <c r="R35" s="89"/>
      <c r="S35" s="89"/>
      <c r="T35" s="89"/>
      <c r="U35" s="190"/>
      <c r="V35" s="190"/>
      <c r="W35" s="190"/>
      <c r="X35" s="190"/>
      <c r="Y35" s="190"/>
      <c r="Z35" s="190"/>
      <c r="AA35" s="190"/>
      <c r="AB35" s="190"/>
      <c r="AC35" s="190"/>
      <c r="AD35" s="190"/>
      <c r="AE35" s="190"/>
      <c r="AF35" s="190"/>
      <c r="AG35" s="190"/>
      <c r="AH35" s="190"/>
      <c r="AI35" s="190"/>
      <c r="AJ35" s="190"/>
      <c r="AK35" s="190"/>
      <c r="AL35" s="190"/>
    </row>
    <row r="36" spans="1:38" x14ac:dyDescent="0.35">
      <c r="A36" s="89"/>
      <c r="B36" s="202"/>
      <c r="C36" s="210">
        <f>1-C35</f>
        <v>0.5</v>
      </c>
      <c r="D36" t="s">
        <v>130</v>
      </c>
      <c r="F36" s="195"/>
      <c r="G36" s="201"/>
      <c r="H36" s="89"/>
      <c r="I36" s="89"/>
      <c r="J36" s="89"/>
      <c r="K36" s="89"/>
      <c r="L36" s="89"/>
      <c r="M36" s="89"/>
      <c r="N36" s="89"/>
      <c r="O36" s="89"/>
      <c r="P36" s="89"/>
      <c r="Q36" s="89"/>
      <c r="R36" s="89"/>
      <c r="S36" s="89"/>
      <c r="T36" s="89"/>
      <c r="U36" s="190"/>
      <c r="V36" s="190"/>
      <c r="W36" s="190"/>
      <c r="X36" s="190"/>
      <c r="Y36" s="190"/>
      <c r="Z36" s="190"/>
      <c r="AA36" s="190"/>
      <c r="AB36" s="190"/>
      <c r="AC36" s="190"/>
      <c r="AD36" s="190"/>
      <c r="AE36" s="190"/>
      <c r="AF36" s="190"/>
      <c r="AG36" s="190"/>
      <c r="AH36" s="190"/>
      <c r="AI36" s="190"/>
      <c r="AJ36" s="190"/>
      <c r="AK36" s="190"/>
      <c r="AL36" s="190"/>
    </row>
    <row r="37" spans="1:38" x14ac:dyDescent="0.35">
      <c r="A37" s="89"/>
      <c r="B37" s="202"/>
      <c r="C37" s="350">
        <v>15</v>
      </c>
      <c r="D37" t="s">
        <v>136</v>
      </c>
      <c r="F37" s="195"/>
      <c r="G37" s="201"/>
      <c r="H37" s="89"/>
      <c r="I37" s="89"/>
      <c r="J37" s="89"/>
      <c r="K37" s="89"/>
      <c r="L37" s="89"/>
      <c r="M37" s="89"/>
      <c r="N37" s="89"/>
      <c r="O37" s="89"/>
      <c r="P37" s="89"/>
      <c r="Q37" s="89"/>
      <c r="R37" s="89"/>
      <c r="S37" s="89"/>
      <c r="T37" s="89"/>
      <c r="U37" s="190"/>
      <c r="V37" s="190"/>
      <c r="W37" s="190"/>
      <c r="X37" s="190"/>
      <c r="Y37" s="190"/>
      <c r="Z37" s="190"/>
      <c r="AA37" s="190"/>
      <c r="AB37" s="190"/>
      <c r="AC37" s="190"/>
      <c r="AD37" s="190"/>
      <c r="AE37" s="190"/>
      <c r="AF37" s="190"/>
      <c r="AG37" s="190"/>
      <c r="AH37" s="190"/>
      <c r="AI37" s="190"/>
      <c r="AJ37" s="190"/>
      <c r="AK37" s="190"/>
      <c r="AL37" s="190"/>
    </row>
    <row r="38" spans="1:38" x14ac:dyDescent="0.35">
      <c r="A38" s="89"/>
      <c r="B38" s="202"/>
      <c r="C38" s="349">
        <v>0.03</v>
      </c>
      <c r="D38" t="s">
        <v>137</v>
      </c>
      <c r="F38" s="195"/>
      <c r="G38" s="201"/>
      <c r="H38" s="89"/>
      <c r="I38" s="89"/>
      <c r="J38" s="89"/>
      <c r="K38" s="89"/>
      <c r="L38" s="89"/>
      <c r="M38" s="89"/>
      <c r="N38" s="89"/>
      <c r="O38" s="89"/>
      <c r="P38" s="89"/>
      <c r="Q38" s="89"/>
      <c r="R38" s="89"/>
      <c r="S38" s="89"/>
      <c r="T38" s="89"/>
      <c r="U38" s="190"/>
      <c r="V38" s="190"/>
      <c r="W38" s="190"/>
      <c r="X38" s="190"/>
      <c r="Y38" s="190"/>
      <c r="Z38" s="190"/>
      <c r="AA38" s="190"/>
      <c r="AB38" s="190"/>
      <c r="AC38" s="190"/>
      <c r="AD38" s="190"/>
      <c r="AE38" s="190"/>
      <c r="AF38" s="190"/>
      <c r="AG38" s="190"/>
      <c r="AH38" s="190"/>
      <c r="AI38" s="190"/>
      <c r="AJ38" s="190"/>
      <c r="AK38" s="190"/>
      <c r="AL38" s="190"/>
    </row>
    <row r="39" spans="1:38" x14ac:dyDescent="0.35">
      <c r="A39" s="89"/>
      <c r="B39" s="203"/>
      <c r="C39" s="267">
        <f>VLOOKUP($G$43,Table4[],2,FALSE)*$C$36/($C$37*12)</f>
        <v>68.724444444444458</v>
      </c>
      <c r="D39" s="1" t="s">
        <v>129</v>
      </c>
      <c r="E39" s="1"/>
      <c r="F39" s="204"/>
      <c r="G39" s="205"/>
      <c r="H39" s="89"/>
      <c r="I39" s="89"/>
      <c r="J39" s="89"/>
      <c r="K39" s="89"/>
      <c r="L39" s="89"/>
      <c r="M39" s="89"/>
      <c r="N39" s="89"/>
      <c r="O39" s="89"/>
      <c r="P39" s="89"/>
      <c r="Q39" s="89"/>
      <c r="R39" s="89"/>
      <c r="S39" s="89"/>
      <c r="T39" s="89"/>
      <c r="U39" s="190"/>
      <c r="V39" s="190"/>
      <c r="W39" s="190"/>
      <c r="X39" s="190"/>
      <c r="Y39" s="190"/>
      <c r="Z39" s="190"/>
      <c r="AA39" s="190"/>
      <c r="AB39" s="190"/>
      <c r="AC39" s="190"/>
      <c r="AD39" s="190"/>
      <c r="AE39" s="190"/>
      <c r="AF39" s="190"/>
      <c r="AG39" s="190"/>
      <c r="AH39" s="190"/>
      <c r="AI39" s="190"/>
      <c r="AJ39" s="190"/>
      <c r="AK39" s="190"/>
      <c r="AL39" s="190"/>
    </row>
    <row r="40" spans="1:38" ht="30" customHeight="1" x14ac:dyDescent="0.35">
      <c r="A40" s="89"/>
      <c r="B40" s="89"/>
      <c r="C40" s="89"/>
      <c r="D40" s="89"/>
      <c r="E40" s="89"/>
      <c r="F40" s="89"/>
      <c r="G40" s="89"/>
      <c r="H40" s="89"/>
      <c r="I40" s="89"/>
      <c r="J40" s="89"/>
      <c r="K40" s="89"/>
      <c r="L40" s="89"/>
      <c r="M40" s="89"/>
      <c r="N40" s="89"/>
      <c r="O40" s="89"/>
      <c r="P40" s="89"/>
      <c r="Q40" s="89"/>
      <c r="R40" s="89"/>
      <c r="S40" s="89"/>
      <c r="T40" s="89"/>
      <c r="U40" s="190"/>
      <c r="V40" s="190"/>
      <c r="W40" s="190"/>
      <c r="X40" s="190"/>
      <c r="Y40" s="190"/>
      <c r="Z40" s="190"/>
      <c r="AA40" s="190"/>
      <c r="AB40" s="190"/>
      <c r="AC40" s="190"/>
      <c r="AD40" s="190"/>
      <c r="AE40" s="190"/>
      <c r="AF40" s="190"/>
      <c r="AG40" s="190"/>
      <c r="AH40" s="190"/>
      <c r="AI40" s="190"/>
      <c r="AJ40" s="190"/>
      <c r="AK40" s="190"/>
      <c r="AL40" s="190"/>
    </row>
    <row r="41" spans="1:38" x14ac:dyDescent="0.35">
      <c r="A41" s="190"/>
      <c r="B41" s="190"/>
      <c r="C41" s="190"/>
      <c r="D41" s="190"/>
      <c r="E41" s="190"/>
      <c r="F41" s="190"/>
      <c r="G41" s="190"/>
      <c r="H41" s="190"/>
      <c r="I41" s="190"/>
      <c r="J41" s="190"/>
      <c r="K41" s="190"/>
      <c r="L41" s="190"/>
      <c r="M41" s="190"/>
      <c r="N41" s="190"/>
      <c r="O41" s="190"/>
      <c r="P41" s="190"/>
      <c r="Q41" s="190"/>
      <c r="R41" s="190"/>
      <c r="S41" s="190"/>
      <c r="T41" s="190"/>
      <c r="U41" s="190"/>
      <c r="V41" s="190"/>
      <c r="W41" s="190"/>
      <c r="X41" s="190"/>
      <c r="Y41" s="190"/>
      <c r="Z41" s="190"/>
      <c r="AA41" s="190"/>
      <c r="AB41" s="190"/>
      <c r="AC41" s="190"/>
      <c r="AD41" s="190"/>
      <c r="AE41" s="190"/>
      <c r="AF41" s="190"/>
      <c r="AG41" s="190"/>
      <c r="AH41" s="190"/>
      <c r="AI41" s="190"/>
      <c r="AJ41" s="190"/>
      <c r="AK41" s="190"/>
      <c r="AL41" s="190"/>
    </row>
    <row r="42" spans="1:38" x14ac:dyDescent="0.35">
      <c r="A42" s="190"/>
      <c r="B42" s="218"/>
      <c r="C42" s="216"/>
      <c r="D42" s="216"/>
      <c r="E42" s="219"/>
      <c r="F42" s="220"/>
      <c r="G42" s="221"/>
      <c r="H42" s="190"/>
      <c r="I42" s="190"/>
      <c r="J42" s="190"/>
      <c r="K42" s="190"/>
      <c r="L42" s="190"/>
      <c r="M42" s="190"/>
      <c r="N42" s="190"/>
      <c r="O42" s="190"/>
      <c r="P42" s="190"/>
      <c r="Q42" s="190"/>
      <c r="R42" s="190"/>
      <c r="S42" s="190"/>
      <c r="T42" s="190"/>
      <c r="U42" s="190"/>
      <c r="V42" s="190"/>
      <c r="W42" s="190"/>
      <c r="X42" s="190"/>
      <c r="Y42" s="190"/>
      <c r="Z42" s="190"/>
      <c r="AA42" s="190"/>
      <c r="AB42" s="190"/>
      <c r="AC42" s="190"/>
      <c r="AD42" s="190"/>
      <c r="AE42" s="190"/>
      <c r="AF42" s="190"/>
      <c r="AG42" s="190"/>
      <c r="AH42" s="190"/>
      <c r="AI42" s="190"/>
      <c r="AJ42" s="190"/>
      <c r="AK42" s="190"/>
      <c r="AL42" s="190"/>
    </row>
    <row r="43" spans="1:38" x14ac:dyDescent="0.35">
      <c r="A43" s="190"/>
      <c r="B43" s="222"/>
      <c r="C43" s="195"/>
      <c r="D43" s="195"/>
      <c r="E43" s="229" t="s">
        <v>180</v>
      </c>
      <c r="F43" s="230" t="s">
        <v>29</v>
      </c>
      <c r="G43" s="231" t="str">
        <f>IF(Tables!B1="EU 27","-",Tables!B1)</f>
        <v>Austria</v>
      </c>
      <c r="H43" s="190"/>
      <c r="I43" s="190"/>
      <c r="J43" s="190"/>
      <c r="K43" s="190"/>
      <c r="L43" s="190"/>
      <c r="M43" s="190"/>
      <c r="N43" s="190"/>
      <c r="O43" s="190"/>
      <c r="P43" s="190"/>
      <c r="Q43" s="190"/>
      <c r="R43" s="190"/>
      <c r="S43" s="190"/>
      <c r="T43" s="190"/>
      <c r="U43" s="190"/>
      <c r="V43" s="190"/>
      <c r="W43" s="190"/>
      <c r="X43" s="190"/>
      <c r="Y43" s="190"/>
      <c r="Z43" s="190"/>
      <c r="AA43" s="190"/>
      <c r="AB43" s="190"/>
      <c r="AC43" s="190"/>
      <c r="AD43" s="190"/>
      <c r="AE43" s="190"/>
      <c r="AF43" s="190"/>
      <c r="AG43" s="190"/>
      <c r="AH43" s="190"/>
      <c r="AI43" s="190"/>
      <c r="AJ43" s="190"/>
      <c r="AK43" s="190"/>
      <c r="AL43" s="190"/>
    </row>
    <row r="44" spans="1:38" x14ac:dyDescent="0.35">
      <c r="A44" s="190"/>
      <c r="B44" s="232"/>
      <c r="C44" s="233"/>
      <c r="D44" s="208"/>
      <c r="E44" s="213" t="s">
        <v>251</v>
      </c>
      <c r="F44" s="234">
        <f>Revenues!K66</f>
        <v>0.24788771744639265</v>
      </c>
      <c r="G44" s="217">
        <f>IF(G43="-","-",VLOOKUP(G43,Table2[['[Million EUR 2023']]:[2026-2032]],9,FALSE)/VLOOKUP(G43,Table13[[#All],[Column1]:[2026-2032]],9,FALSE))</f>
        <v>9.7161556483555955E-2</v>
      </c>
      <c r="H44" s="190"/>
      <c r="I44" s="190"/>
      <c r="J44" s="190"/>
      <c r="K44" s="190"/>
      <c r="L44" s="190"/>
      <c r="M44" s="190"/>
      <c r="N44" s="190"/>
      <c r="O44" s="190"/>
      <c r="P44" s="190"/>
      <c r="Q44" s="190"/>
      <c r="R44" s="190"/>
      <c r="S44" s="190"/>
      <c r="T44" s="190"/>
      <c r="U44" s="190"/>
      <c r="V44" s="190"/>
      <c r="W44" s="190"/>
      <c r="X44" s="190"/>
      <c r="Y44" s="190"/>
      <c r="Z44" s="190"/>
      <c r="AA44" s="190"/>
      <c r="AB44" s="190"/>
      <c r="AC44" s="190"/>
      <c r="AD44" s="190"/>
      <c r="AE44" s="190"/>
      <c r="AF44" s="190"/>
      <c r="AG44" s="190"/>
      <c r="AH44" s="190"/>
      <c r="AI44" s="190"/>
      <c r="AJ44" s="190"/>
      <c r="AK44" s="190"/>
      <c r="AL44" s="190"/>
    </row>
    <row r="45" spans="1:38" x14ac:dyDescent="0.35">
      <c r="A45" s="190"/>
      <c r="B45" s="232"/>
      <c r="C45" s="233"/>
      <c r="D45" s="208"/>
      <c r="E45" s="213" t="s">
        <v>252</v>
      </c>
      <c r="F45" s="214">
        <f>Revenues!AN65/Revenues!BH65</f>
        <v>0.3239064599956592</v>
      </c>
      <c r="G45" s="217">
        <f>IF(G43="-","-",VLOOKUP(G43,Table9[[Column1]:[2026-2032]],9,FALSE)/VLOOKUP(G43,Table13[[#All],[Column1]:[2026-2032]],9,FALSE))</f>
        <v>0.12954874197807462</v>
      </c>
      <c r="H45" s="190"/>
      <c r="I45" s="190"/>
      <c r="J45" s="190"/>
      <c r="K45" s="190"/>
      <c r="L45" s="190"/>
      <c r="M45" s="190"/>
      <c r="N45" s="190"/>
      <c r="O45" s="190"/>
      <c r="P45" s="190"/>
      <c r="Q45" s="190"/>
      <c r="R45" s="190"/>
      <c r="S45" s="190"/>
      <c r="T45" s="190"/>
      <c r="U45" s="190"/>
      <c r="V45" s="190"/>
      <c r="W45" s="190"/>
      <c r="X45" s="190"/>
      <c r="Y45" s="190"/>
      <c r="Z45" s="190"/>
      <c r="AA45" s="190"/>
      <c r="AB45" s="190"/>
      <c r="AC45" s="190"/>
      <c r="AD45" s="190"/>
      <c r="AE45" s="190"/>
      <c r="AF45" s="190"/>
      <c r="AG45" s="190"/>
      <c r="AH45" s="190"/>
      <c r="AI45" s="190"/>
      <c r="AJ45" s="190"/>
      <c r="AK45" s="190"/>
      <c r="AL45" s="190"/>
    </row>
    <row r="46" spans="1:38" x14ac:dyDescent="0.35">
      <c r="A46" s="190"/>
      <c r="B46" s="232"/>
      <c r="C46" s="233"/>
      <c r="D46" s="208"/>
      <c r="E46" s="213"/>
      <c r="F46" s="214"/>
      <c r="G46" s="217"/>
      <c r="H46" s="190"/>
      <c r="I46" s="190"/>
      <c r="J46" s="190"/>
      <c r="K46" s="190"/>
      <c r="L46" s="190"/>
      <c r="M46" s="190"/>
      <c r="N46" s="190"/>
      <c r="O46" s="190"/>
      <c r="P46" s="190"/>
      <c r="Q46" s="190"/>
      <c r="R46" s="190"/>
      <c r="S46" s="190"/>
      <c r="T46" s="190"/>
      <c r="U46" s="190"/>
      <c r="V46" s="190"/>
      <c r="W46" s="190"/>
      <c r="X46" s="190"/>
      <c r="Y46" s="190"/>
      <c r="Z46" s="190"/>
      <c r="AA46" s="190"/>
      <c r="AB46" s="190"/>
      <c r="AC46" s="190"/>
      <c r="AD46" s="190"/>
      <c r="AE46" s="190"/>
      <c r="AF46" s="190"/>
      <c r="AG46" s="190"/>
      <c r="AH46" s="190"/>
      <c r="AI46" s="190"/>
      <c r="AJ46" s="190"/>
      <c r="AK46" s="190"/>
      <c r="AL46" s="190"/>
    </row>
    <row r="47" spans="1:38" x14ac:dyDescent="0.35">
      <c r="A47" s="190"/>
      <c r="B47" s="232"/>
      <c r="C47" s="233"/>
      <c r="D47" s="208"/>
      <c r="E47" s="213" t="s">
        <v>145</v>
      </c>
      <c r="F47" s="268">
        <f>Revenues!R4</f>
        <v>1695.8333333333333</v>
      </c>
      <c r="G47" s="269">
        <f>IF(G43="-","-",VLOOKUP(G43,Revenues!M4:R31,6,FALSE))</f>
        <v>2620.25</v>
      </c>
      <c r="H47" s="190"/>
      <c r="I47" s="190"/>
      <c r="J47" s="190"/>
      <c r="K47" s="190"/>
      <c r="L47" s="190"/>
      <c r="M47" s="190"/>
      <c r="N47" s="190"/>
      <c r="O47" s="190"/>
      <c r="P47" s="190"/>
      <c r="Q47" s="190"/>
      <c r="R47" s="190"/>
      <c r="S47" s="190"/>
      <c r="T47" s="190"/>
      <c r="U47" s="190"/>
      <c r="V47" s="190"/>
      <c r="W47" s="190"/>
      <c r="X47" s="190"/>
      <c r="Y47" s="190"/>
      <c r="Z47" s="190"/>
      <c r="AA47" s="190"/>
      <c r="AB47" s="190"/>
      <c r="AC47" s="190"/>
      <c r="AD47" s="190"/>
      <c r="AE47" s="190"/>
      <c r="AF47" s="190"/>
      <c r="AG47" s="190"/>
      <c r="AH47" s="190"/>
      <c r="AI47" s="190"/>
      <c r="AJ47" s="190"/>
      <c r="AK47" s="190"/>
      <c r="AL47" s="190"/>
    </row>
    <row r="48" spans="1:38" x14ac:dyDescent="0.35">
      <c r="A48" s="190"/>
      <c r="B48" s="232"/>
      <c r="C48" s="233"/>
      <c r="D48" s="208"/>
      <c r="E48" s="213" t="s">
        <v>216</v>
      </c>
      <c r="F48" s="297">
        <f>Revenues!P4</f>
        <v>0.214</v>
      </c>
      <c r="G48" s="298">
        <f>IF(G43="-","-",VLOOKUP(G43,Revenues!M4:P31,4,FALSE))</f>
        <v>0.17724838428</v>
      </c>
      <c r="H48" s="190"/>
      <c r="I48" s="190"/>
      <c r="J48" s="190"/>
      <c r="K48" s="190"/>
      <c r="L48" s="190"/>
      <c r="M48" s="190"/>
      <c r="N48" s="190"/>
      <c r="O48" s="190"/>
      <c r="P48" s="190"/>
      <c r="Q48" s="190"/>
      <c r="R48" s="190"/>
      <c r="S48" s="190"/>
      <c r="T48" s="190"/>
      <c r="U48" s="190"/>
      <c r="V48" s="190"/>
      <c r="W48" s="190"/>
      <c r="X48" s="190"/>
      <c r="Y48" s="190"/>
      <c r="Z48" s="190"/>
      <c r="AA48" s="190"/>
      <c r="AB48" s="190"/>
      <c r="AC48" s="190"/>
      <c r="AD48" s="190"/>
      <c r="AE48" s="190"/>
      <c r="AF48" s="190"/>
      <c r="AG48" s="190"/>
      <c r="AH48" s="190"/>
      <c r="AI48" s="190"/>
      <c r="AJ48" s="190"/>
      <c r="AK48" s="190"/>
      <c r="AL48" s="190"/>
    </row>
    <row r="49" spans="1:38" x14ac:dyDescent="0.35">
      <c r="A49" s="190"/>
      <c r="B49" s="223"/>
      <c r="C49" s="224"/>
      <c r="D49" s="225"/>
      <c r="E49" s="226"/>
      <c r="F49" s="227"/>
      <c r="G49" s="228"/>
      <c r="H49" s="190"/>
      <c r="I49" s="190"/>
      <c r="J49" s="190"/>
      <c r="K49" s="190"/>
      <c r="L49" s="190"/>
      <c r="M49" s="190"/>
      <c r="N49" s="190"/>
      <c r="O49" s="190"/>
      <c r="P49" s="190"/>
      <c r="Q49" s="190"/>
      <c r="R49" s="190"/>
      <c r="S49" s="190"/>
      <c r="T49" s="190"/>
      <c r="U49" s="190"/>
      <c r="V49" s="190"/>
      <c r="W49" s="190"/>
      <c r="X49" s="190"/>
      <c r="Y49" s="190"/>
      <c r="Z49" s="190"/>
      <c r="AA49" s="190"/>
      <c r="AB49" s="190"/>
      <c r="AC49" s="190"/>
      <c r="AD49" s="190"/>
      <c r="AE49" s="190"/>
      <c r="AF49" s="190"/>
      <c r="AG49" s="190"/>
      <c r="AH49" s="190"/>
      <c r="AI49" s="190"/>
      <c r="AJ49" s="190"/>
      <c r="AK49" s="190"/>
      <c r="AL49" s="190"/>
    </row>
    <row r="50" spans="1:38" x14ac:dyDescent="0.35">
      <c r="A50" s="190"/>
      <c r="B50" s="190"/>
      <c r="C50" s="190"/>
      <c r="D50" s="190"/>
      <c r="E50" s="190"/>
      <c r="F50" s="190"/>
      <c r="G50" s="190"/>
      <c r="H50" s="190"/>
      <c r="I50" s="190"/>
      <c r="J50" s="190"/>
      <c r="K50" s="190"/>
      <c r="L50" s="190"/>
      <c r="M50" s="190"/>
      <c r="N50" s="190"/>
      <c r="O50" s="190"/>
      <c r="P50" s="190"/>
      <c r="Q50" s="190"/>
      <c r="R50" s="190"/>
      <c r="S50" s="190"/>
      <c r="T50" s="190"/>
      <c r="U50" s="190"/>
      <c r="V50" s="190"/>
      <c r="W50" s="190"/>
      <c r="X50" s="190"/>
      <c r="Y50" s="190"/>
      <c r="Z50" s="190"/>
      <c r="AA50" s="190"/>
      <c r="AB50" s="190"/>
      <c r="AC50" s="190"/>
      <c r="AD50" s="190"/>
      <c r="AE50" s="190"/>
      <c r="AF50" s="190"/>
      <c r="AG50" s="190"/>
      <c r="AH50" s="190"/>
      <c r="AI50" s="190"/>
      <c r="AJ50" s="190"/>
      <c r="AK50" s="190"/>
      <c r="AL50" s="190"/>
    </row>
    <row r="51" spans="1:38" x14ac:dyDescent="0.35">
      <c r="A51" s="190"/>
      <c r="B51" s="190"/>
      <c r="C51" s="190"/>
      <c r="D51" s="190"/>
      <c r="E51" s="190"/>
      <c r="F51" s="190"/>
      <c r="G51" s="190"/>
      <c r="H51" s="190"/>
      <c r="I51" s="190"/>
      <c r="J51" s="190"/>
      <c r="K51" s="190"/>
      <c r="L51" s="190"/>
      <c r="M51" s="190"/>
      <c r="N51" s="190"/>
      <c r="O51" s="190"/>
      <c r="P51" s="190"/>
      <c r="Q51" s="190"/>
      <c r="R51" s="190"/>
      <c r="S51" s="190"/>
      <c r="T51" s="190"/>
      <c r="U51" s="190"/>
      <c r="V51" s="190"/>
      <c r="W51" s="190"/>
      <c r="X51" s="190"/>
      <c r="Y51" s="190"/>
      <c r="Z51" s="190"/>
      <c r="AA51" s="190"/>
      <c r="AB51" s="190"/>
      <c r="AC51" s="190"/>
      <c r="AD51" s="190"/>
      <c r="AE51" s="190"/>
      <c r="AF51" s="190"/>
      <c r="AG51" s="190"/>
      <c r="AH51" s="190"/>
      <c r="AI51" s="190"/>
      <c r="AJ51" s="190"/>
      <c r="AK51" s="190"/>
      <c r="AL51" s="190"/>
    </row>
    <row r="52" spans="1:38" x14ac:dyDescent="0.35">
      <c r="A52" s="190"/>
      <c r="B52" s="190"/>
      <c r="C52" s="190"/>
      <c r="D52" s="190"/>
      <c r="E52" s="190"/>
      <c r="F52" s="190"/>
      <c r="G52" s="190"/>
      <c r="H52" s="190"/>
      <c r="I52" s="190"/>
      <c r="J52" s="190"/>
      <c r="K52" s="190"/>
      <c r="L52" s="190"/>
      <c r="M52" s="190"/>
      <c r="N52" s="190"/>
      <c r="O52" s="190"/>
      <c r="P52" s="190"/>
      <c r="Q52" s="190"/>
      <c r="R52" s="190"/>
      <c r="S52" s="190"/>
      <c r="T52" s="190"/>
      <c r="U52" s="190"/>
      <c r="V52" s="190"/>
      <c r="W52" s="190"/>
      <c r="X52" s="190"/>
      <c r="Y52" s="190"/>
      <c r="Z52" s="190"/>
      <c r="AA52" s="190"/>
      <c r="AB52" s="190"/>
      <c r="AC52" s="190"/>
      <c r="AD52" s="190"/>
      <c r="AE52" s="190"/>
      <c r="AF52" s="190"/>
      <c r="AG52" s="190"/>
      <c r="AH52" s="190"/>
      <c r="AI52" s="190"/>
      <c r="AJ52" s="190"/>
      <c r="AK52" s="190"/>
      <c r="AL52" s="190"/>
    </row>
    <row r="53" spans="1:38" x14ac:dyDescent="0.35">
      <c r="A53" s="190"/>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row>
    <row r="54" spans="1:38" x14ac:dyDescent="0.35">
      <c r="A54" s="190"/>
      <c r="B54" s="190"/>
      <c r="C54" s="190"/>
      <c r="D54" s="190"/>
      <c r="E54" s="190"/>
      <c r="F54" s="190"/>
      <c r="G54" s="190"/>
      <c r="H54" s="190"/>
      <c r="I54" s="190"/>
      <c r="J54" s="190"/>
      <c r="K54" s="190"/>
      <c r="L54" s="190"/>
      <c r="M54" s="190"/>
      <c r="N54" s="190"/>
      <c r="O54" s="190"/>
      <c r="P54" s="190"/>
      <c r="Q54" s="190"/>
      <c r="R54" s="190"/>
      <c r="S54" s="190"/>
      <c r="T54" s="190"/>
      <c r="U54" s="190"/>
      <c r="V54" s="190"/>
      <c r="W54" s="190"/>
      <c r="X54" s="190"/>
      <c r="Y54" s="190"/>
      <c r="Z54" s="190"/>
      <c r="AA54" s="190"/>
      <c r="AB54" s="190"/>
      <c r="AC54" s="190"/>
      <c r="AD54" s="190"/>
      <c r="AE54" s="190"/>
      <c r="AF54" s="190"/>
      <c r="AG54" s="190"/>
      <c r="AH54" s="190"/>
      <c r="AI54" s="190"/>
      <c r="AJ54" s="190"/>
      <c r="AK54" s="190"/>
      <c r="AL54" s="190"/>
    </row>
    <row r="55" spans="1:38" x14ac:dyDescent="0.35">
      <c r="A55" s="190"/>
      <c r="B55" s="190"/>
      <c r="C55" s="190"/>
      <c r="D55" s="190"/>
      <c r="E55" s="190"/>
      <c r="F55" s="190"/>
      <c r="G55" s="190"/>
      <c r="H55" s="190"/>
      <c r="I55" s="190"/>
      <c r="J55" s="190"/>
      <c r="K55" s="190"/>
      <c r="L55" s="190"/>
      <c r="M55" s="190"/>
      <c r="N55" s="190"/>
      <c r="O55" s="190"/>
      <c r="P55" s="190"/>
      <c r="Q55" s="190"/>
      <c r="R55" s="190"/>
      <c r="S55" s="190"/>
      <c r="T55" s="190"/>
      <c r="U55" s="190"/>
      <c r="V55" s="190"/>
      <c r="W55" s="190"/>
      <c r="X55" s="190"/>
      <c r="Y55" s="190"/>
      <c r="Z55" s="190"/>
      <c r="AA55" s="190"/>
      <c r="AB55" s="190"/>
      <c r="AC55" s="190"/>
      <c r="AD55" s="190"/>
      <c r="AE55" s="190"/>
      <c r="AF55" s="190"/>
      <c r="AG55" s="190"/>
      <c r="AH55" s="190"/>
      <c r="AI55" s="190"/>
      <c r="AJ55" s="190"/>
      <c r="AK55" s="190"/>
      <c r="AL55" s="190"/>
    </row>
    <row r="56" spans="1:38" x14ac:dyDescent="0.35">
      <c r="A56" s="190"/>
      <c r="B56" s="190"/>
      <c r="C56" s="190"/>
      <c r="D56" s="190"/>
      <c r="E56" s="190"/>
      <c r="F56" s="190"/>
      <c r="G56" s="190"/>
      <c r="H56" s="190"/>
      <c r="I56" s="190"/>
      <c r="J56" s="190"/>
      <c r="K56" s="190"/>
      <c r="L56" s="190"/>
      <c r="M56" s="190"/>
      <c r="N56" s="190"/>
      <c r="O56" s="190"/>
      <c r="P56" s="190"/>
      <c r="Q56" s="190"/>
      <c r="R56" s="190"/>
      <c r="S56" s="190"/>
      <c r="T56" s="190"/>
      <c r="U56" s="190"/>
      <c r="V56" s="190"/>
      <c r="W56" s="190"/>
      <c r="X56" s="190"/>
      <c r="Y56" s="190"/>
      <c r="Z56" s="190"/>
      <c r="AA56" s="190"/>
      <c r="AB56" s="190"/>
      <c r="AC56" s="190"/>
      <c r="AD56" s="190"/>
      <c r="AE56" s="190"/>
      <c r="AF56" s="190"/>
      <c r="AG56" s="190"/>
      <c r="AH56" s="190"/>
      <c r="AI56" s="190"/>
      <c r="AJ56" s="190"/>
      <c r="AK56" s="190"/>
      <c r="AL56" s="190"/>
    </row>
    <row r="57" spans="1:38" x14ac:dyDescent="0.35">
      <c r="A57" s="190"/>
      <c r="B57" s="190"/>
      <c r="C57" s="190"/>
      <c r="D57" s="190"/>
      <c r="E57" s="190"/>
      <c r="F57" s="190"/>
      <c r="G57" s="190"/>
      <c r="H57" s="190"/>
      <c r="I57" s="190"/>
      <c r="J57" s="190"/>
      <c r="K57" s="190"/>
      <c r="L57" s="190"/>
      <c r="M57" s="190"/>
      <c r="N57" s="190"/>
      <c r="O57" s="190"/>
      <c r="P57" s="190"/>
      <c r="Q57" s="190"/>
      <c r="R57" s="190"/>
      <c r="S57" s="190"/>
      <c r="T57" s="190"/>
      <c r="U57" s="190"/>
      <c r="V57" s="190"/>
      <c r="W57" s="190"/>
      <c r="X57" s="190"/>
      <c r="Y57" s="190"/>
      <c r="Z57" s="190"/>
      <c r="AA57" s="190"/>
      <c r="AB57" s="190"/>
      <c r="AC57" s="190"/>
      <c r="AD57" s="190"/>
      <c r="AE57" s="190"/>
      <c r="AF57" s="190"/>
      <c r="AG57" s="190"/>
      <c r="AH57" s="190"/>
      <c r="AI57" s="190"/>
      <c r="AJ57" s="190"/>
      <c r="AK57" s="190"/>
      <c r="AL57" s="190"/>
    </row>
    <row r="58" spans="1:38" x14ac:dyDescent="0.35">
      <c r="A58" s="190"/>
      <c r="B58" s="190"/>
      <c r="C58" s="190"/>
      <c r="D58" s="190"/>
      <c r="E58" s="190"/>
      <c r="F58" s="190"/>
      <c r="G58" s="190"/>
      <c r="H58" s="190"/>
      <c r="I58" s="190"/>
      <c r="J58" s="190"/>
      <c r="K58" s="190"/>
      <c r="L58" s="190"/>
      <c r="M58" s="190"/>
      <c r="N58" s="190"/>
      <c r="O58" s="190"/>
      <c r="P58" s="190"/>
      <c r="Q58" s="190"/>
      <c r="R58" s="190"/>
      <c r="S58" s="190"/>
      <c r="T58" s="190"/>
      <c r="U58" s="190"/>
      <c r="V58" s="190"/>
      <c r="W58" s="190"/>
      <c r="X58" s="190"/>
      <c r="Y58" s="190"/>
      <c r="Z58" s="190"/>
      <c r="AA58" s="190"/>
      <c r="AB58" s="190"/>
      <c r="AC58" s="190"/>
      <c r="AD58" s="190"/>
      <c r="AE58" s="190"/>
      <c r="AF58" s="190"/>
      <c r="AG58" s="190"/>
      <c r="AH58" s="190"/>
      <c r="AI58" s="190"/>
      <c r="AJ58" s="190"/>
      <c r="AK58" s="190"/>
      <c r="AL58" s="190"/>
    </row>
    <row r="59" spans="1:38" x14ac:dyDescent="0.35">
      <c r="A59" s="190"/>
      <c r="B59" s="190"/>
      <c r="C59" s="190"/>
      <c r="D59" s="190"/>
      <c r="E59" s="190"/>
      <c r="F59" s="190"/>
      <c r="G59" s="190"/>
      <c r="H59" s="190"/>
      <c r="I59" s="190"/>
      <c r="J59" s="190"/>
      <c r="K59" s="190"/>
      <c r="L59" s="190"/>
      <c r="M59" s="190"/>
      <c r="N59" s="190"/>
      <c r="O59" s="190"/>
      <c r="P59" s="190"/>
      <c r="Q59" s="190"/>
      <c r="R59" s="190"/>
      <c r="S59" s="190"/>
      <c r="T59" s="190"/>
      <c r="U59" s="190"/>
      <c r="V59" s="190"/>
      <c r="W59" s="190"/>
      <c r="X59" s="190"/>
      <c r="Y59" s="190"/>
      <c r="Z59" s="190"/>
      <c r="AA59" s="190"/>
      <c r="AB59" s="190"/>
      <c r="AC59" s="190"/>
      <c r="AD59" s="190"/>
      <c r="AE59" s="190"/>
      <c r="AF59" s="190"/>
      <c r="AG59" s="190"/>
      <c r="AH59" s="190"/>
      <c r="AI59" s="190"/>
      <c r="AJ59" s="190"/>
      <c r="AK59" s="190"/>
      <c r="AL59" s="190"/>
    </row>
    <row r="60" spans="1:38" x14ac:dyDescent="0.35">
      <c r="A60" s="190"/>
      <c r="B60" s="190"/>
      <c r="C60" s="190"/>
      <c r="D60" s="190"/>
      <c r="E60" s="190"/>
      <c r="F60" s="190"/>
      <c r="G60" s="190"/>
      <c r="H60" s="190"/>
      <c r="I60" s="190"/>
      <c r="J60" s="190"/>
      <c r="K60" s="190"/>
      <c r="L60" s="190"/>
      <c r="M60" s="190"/>
      <c r="N60" s="190"/>
      <c r="O60" s="190"/>
      <c r="P60" s="190"/>
      <c r="Q60" s="190"/>
      <c r="R60" s="190"/>
      <c r="S60" s="190"/>
      <c r="T60" s="190"/>
      <c r="U60" s="190"/>
      <c r="V60" s="190"/>
      <c r="W60" s="190"/>
      <c r="X60" s="190"/>
      <c r="Y60" s="190"/>
      <c r="Z60" s="190"/>
      <c r="AA60" s="190"/>
      <c r="AB60" s="190"/>
      <c r="AC60" s="190"/>
      <c r="AD60" s="190"/>
      <c r="AE60" s="190"/>
      <c r="AF60" s="190"/>
      <c r="AG60" s="190"/>
      <c r="AH60" s="190"/>
      <c r="AI60" s="190"/>
      <c r="AJ60" s="190"/>
      <c r="AK60" s="190"/>
      <c r="AL60" s="190"/>
    </row>
    <row r="61" spans="1:38" x14ac:dyDescent="0.35">
      <c r="A61" s="190"/>
      <c r="B61" s="190"/>
      <c r="C61" s="190"/>
      <c r="D61" s="190"/>
      <c r="E61" s="190"/>
      <c r="F61" s="190"/>
      <c r="G61" s="190"/>
      <c r="H61" s="190"/>
      <c r="I61" s="190"/>
      <c r="J61" s="190"/>
      <c r="K61" s="190"/>
      <c r="L61" s="190"/>
      <c r="M61" s="190"/>
      <c r="N61" s="190"/>
      <c r="O61" s="190"/>
      <c r="P61" s="190"/>
      <c r="Q61" s="190"/>
      <c r="R61" s="190"/>
      <c r="S61" s="190"/>
      <c r="T61" s="190"/>
      <c r="U61" s="190"/>
      <c r="V61" s="190"/>
      <c r="W61" s="190"/>
      <c r="X61" s="190"/>
      <c r="Y61" s="190"/>
      <c r="Z61" s="190"/>
      <c r="AA61" s="190"/>
      <c r="AB61" s="190"/>
      <c r="AC61" s="190"/>
      <c r="AD61" s="190"/>
      <c r="AE61" s="190"/>
      <c r="AF61" s="190"/>
      <c r="AG61" s="190"/>
      <c r="AH61" s="190"/>
      <c r="AI61" s="190"/>
      <c r="AJ61" s="190"/>
      <c r="AK61" s="190"/>
      <c r="AL61" s="190"/>
    </row>
    <row r="62" spans="1:38" x14ac:dyDescent="0.35">
      <c r="A62" s="190"/>
      <c r="B62" s="190"/>
      <c r="C62" s="190"/>
      <c r="D62" s="190"/>
      <c r="E62" s="190"/>
      <c r="F62" s="190"/>
      <c r="G62" s="190"/>
      <c r="H62" s="190"/>
      <c r="I62" s="190"/>
      <c r="J62" s="190"/>
      <c r="K62" s="190"/>
      <c r="L62" s="190"/>
      <c r="M62" s="190"/>
      <c r="N62" s="190"/>
      <c r="O62" s="190"/>
      <c r="P62" s="190"/>
      <c r="Q62" s="190"/>
      <c r="R62" s="190"/>
      <c r="S62" s="190"/>
      <c r="T62" s="190"/>
      <c r="U62" s="190"/>
      <c r="V62" s="190"/>
      <c r="W62" s="190"/>
      <c r="X62" s="190"/>
      <c r="Y62" s="190"/>
      <c r="Z62" s="190"/>
      <c r="AA62" s="190"/>
      <c r="AB62" s="190"/>
      <c r="AC62" s="190"/>
      <c r="AD62" s="190"/>
      <c r="AE62" s="190"/>
      <c r="AF62" s="190"/>
      <c r="AG62" s="190"/>
      <c r="AH62" s="190"/>
      <c r="AI62" s="190"/>
      <c r="AJ62" s="190"/>
      <c r="AK62" s="190"/>
      <c r="AL62" s="190"/>
    </row>
    <row r="63" spans="1:38" x14ac:dyDescent="0.35">
      <c r="A63" s="190"/>
      <c r="B63" s="190"/>
      <c r="C63" s="190"/>
      <c r="D63" s="190"/>
      <c r="E63" s="190"/>
      <c r="F63" s="190"/>
      <c r="G63" s="190"/>
      <c r="H63" s="190"/>
      <c r="I63" s="190"/>
      <c r="J63" s="190"/>
      <c r="K63" s="190"/>
      <c r="L63" s="190"/>
      <c r="M63" s="190"/>
      <c r="N63" s="190"/>
      <c r="O63" s="190"/>
      <c r="P63" s="190"/>
      <c r="Q63" s="190"/>
      <c r="R63" s="190"/>
      <c r="S63" s="190"/>
      <c r="T63" s="190"/>
      <c r="U63" s="190"/>
      <c r="V63" s="190"/>
      <c r="W63" s="190"/>
      <c r="X63" s="190"/>
      <c r="Y63" s="190"/>
      <c r="Z63" s="190"/>
      <c r="AA63" s="190"/>
      <c r="AB63" s="190"/>
      <c r="AC63" s="190"/>
      <c r="AD63" s="190"/>
      <c r="AE63" s="190"/>
      <c r="AF63" s="190"/>
      <c r="AG63" s="190"/>
      <c r="AH63" s="190"/>
      <c r="AI63" s="190"/>
      <c r="AJ63" s="190"/>
      <c r="AK63" s="190"/>
      <c r="AL63" s="190"/>
    </row>
    <row r="64" spans="1:38" x14ac:dyDescent="0.35">
      <c r="A64" s="190"/>
      <c r="B64" s="190"/>
      <c r="C64" s="190"/>
      <c r="D64" s="190"/>
      <c r="E64" s="190"/>
      <c r="F64" s="190"/>
      <c r="G64" s="190"/>
      <c r="H64" s="190"/>
      <c r="I64" s="190"/>
      <c r="J64" s="190"/>
      <c r="K64" s="190"/>
      <c r="L64" s="190"/>
      <c r="M64" s="190"/>
      <c r="N64" s="190"/>
      <c r="O64" s="190"/>
      <c r="P64" s="190"/>
      <c r="Q64" s="190"/>
      <c r="R64" s="190"/>
      <c r="S64" s="190"/>
      <c r="T64" s="190"/>
      <c r="U64" s="190"/>
      <c r="V64" s="190"/>
      <c r="W64" s="190"/>
      <c r="X64" s="190"/>
      <c r="Y64" s="190"/>
      <c r="Z64" s="190"/>
      <c r="AA64" s="190"/>
      <c r="AB64" s="190"/>
      <c r="AC64" s="190"/>
      <c r="AD64" s="190"/>
      <c r="AE64" s="190"/>
      <c r="AF64" s="190"/>
      <c r="AG64" s="190"/>
      <c r="AH64" s="190"/>
      <c r="AI64" s="190"/>
      <c r="AJ64" s="190"/>
      <c r="AK64" s="190"/>
      <c r="AL64" s="190"/>
    </row>
    <row r="65" spans="1:38" x14ac:dyDescent="0.35">
      <c r="A65" s="190"/>
      <c r="B65" s="190"/>
      <c r="C65" s="190"/>
      <c r="D65" s="190"/>
      <c r="E65" s="190"/>
      <c r="F65" s="190"/>
      <c r="G65" s="190"/>
      <c r="H65" s="190"/>
      <c r="I65" s="190"/>
      <c r="J65" s="190"/>
      <c r="K65" s="190"/>
      <c r="L65" s="190"/>
      <c r="M65" s="190"/>
      <c r="N65" s="190"/>
      <c r="O65" s="190"/>
      <c r="P65" s="190"/>
      <c r="Q65" s="190"/>
      <c r="R65" s="190"/>
      <c r="S65" s="190"/>
      <c r="T65" s="190"/>
      <c r="U65" s="190"/>
      <c r="V65" s="190"/>
      <c r="W65" s="190"/>
      <c r="X65" s="190"/>
      <c r="Y65" s="190"/>
      <c r="Z65" s="190"/>
      <c r="AA65" s="190"/>
      <c r="AB65" s="190"/>
      <c r="AC65" s="190"/>
      <c r="AD65" s="190"/>
      <c r="AE65" s="190"/>
      <c r="AF65" s="190"/>
      <c r="AG65" s="190"/>
      <c r="AH65" s="190"/>
      <c r="AI65" s="190"/>
      <c r="AJ65" s="190"/>
      <c r="AK65" s="190"/>
      <c r="AL65" s="190"/>
    </row>
    <row r="66" spans="1:38" x14ac:dyDescent="0.35">
      <c r="A66" s="190"/>
      <c r="B66" s="190"/>
      <c r="C66" s="190"/>
      <c r="D66" s="190"/>
      <c r="E66" s="190"/>
      <c r="F66" s="190"/>
      <c r="G66" s="190"/>
      <c r="H66" s="190"/>
      <c r="I66" s="190"/>
      <c r="J66" s="190"/>
      <c r="K66" s="190"/>
      <c r="L66" s="190"/>
      <c r="M66" s="190"/>
      <c r="N66" s="190"/>
      <c r="O66" s="190"/>
      <c r="P66" s="190"/>
      <c r="Q66" s="190"/>
      <c r="R66" s="190"/>
      <c r="S66" s="190"/>
      <c r="T66" s="190"/>
      <c r="U66" s="190"/>
      <c r="V66" s="190"/>
      <c r="W66" s="190"/>
      <c r="X66" s="190"/>
      <c r="Y66" s="190"/>
      <c r="Z66" s="190"/>
      <c r="AA66" s="190"/>
      <c r="AB66" s="190"/>
      <c r="AC66" s="190"/>
      <c r="AD66" s="190"/>
      <c r="AE66" s="190"/>
      <c r="AF66" s="190"/>
      <c r="AG66" s="190"/>
      <c r="AH66" s="190"/>
      <c r="AI66" s="190"/>
      <c r="AJ66" s="190"/>
      <c r="AK66" s="190"/>
      <c r="AL66" s="190"/>
    </row>
    <row r="67" spans="1:38" x14ac:dyDescent="0.35">
      <c r="A67" s="190"/>
      <c r="B67" s="190"/>
      <c r="C67" s="190"/>
      <c r="D67" s="190"/>
      <c r="E67" s="190"/>
      <c r="F67" s="190"/>
      <c r="G67" s="190"/>
      <c r="H67" s="190"/>
      <c r="I67" s="190"/>
      <c r="J67" s="190"/>
      <c r="K67" s="190"/>
      <c r="L67" s="190"/>
      <c r="M67" s="190"/>
      <c r="N67" s="190"/>
      <c r="O67" s="190"/>
      <c r="P67" s="190"/>
      <c r="Q67" s="190"/>
      <c r="R67" s="190"/>
      <c r="S67" s="190"/>
      <c r="T67" s="190"/>
      <c r="U67" s="190"/>
      <c r="V67" s="190"/>
      <c r="W67" s="190"/>
      <c r="X67" s="190"/>
      <c r="Y67" s="190"/>
      <c r="Z67" s="190"/>
      <c r="AA67" s="190"/>
      <c r="AB67" s="190"/>
      <c r="AC67" s="190"/>
      <c r="AD67" s="190"/>
      <c r="AE67" s="190"/>
      <c r="AF67" s="190"/>
      <c r="AG67" s="190"/>
      <c r="AH67" s="190"/>
      <c r="AI67" s="190"/>
      <c r="AJ67" s="190"/>
      <c r="AK67" s="190"/>
      <c r="AL67" s="190"/>
    </row>
    <row r="68" spans="1:38" x14ac:dyDescent="0.35">
      <c r="A68" s="190"/>
      <c r="B68" s="190"/>
      <c r="C68" s="190"/>
      <c r="D68" s="190"/>
      <c r="E68" s="190"/>
      <c r="F68" s="190"/>
      <c r="G68" s="190"/>
      <c r="H68" s="190"/>
      <c r="I68" s="190"/>
      <c r="J68" s="190"/>
      <c r="K68" s="190"/>
      <c r="L68" s="190"/>
      <c r="M68" s="190"/>
      <c r="N68" s="190"/>
      <c r="O68" s="190"/>
      <c r="P68" s="190"/>
      <c r="Q68" s="190"/>
      <c r="R68" s="190"/>
      <c r="S68" s="190"/>
      <c r="T68" s="190"/>
      <c r="U68" s="190"/>
      <c r="V68" s="190"/>
      <c r="W68" s="190"/>
      <c r="X68" s="190"/>
      <c r="Y68" s="190"/>
      <c r="Z68" s="190"/>
      <c r="AA68" s="190"/>
      <c r="AB68" s="190"/>
      <c r="AC68" s="190"/>
      <c r="AD68" s="190"/>
      <c r="AE68" s="190"/>
      <c r="AF68" s="190"/>
      <c r="AG68" s="190"/>
      <c r="AH68" s="190"/>
      <c r="AI68" s="190"/>
      <c r="AJ68" s="190"/>
      <c r="AK68" s="190"/>
      <c r="AL68" s="190"/>
    </row>
    <row r="69" spans="1:38" x14ac:dyDescent="0.35">
      <c r="A69" s="190"/>
      <c r="B69" s="190"/>
      <c r="C69" s="190"/>
      <c r="D69" s="190"/>
      <c r="E69" s="190"/>
      <c r="F69" s="190"/>
      <c r="G69" s="190"/>
      <c r="H69" s="190"/>
      <c r="I69" s="190"/>
      <c r="J69" s="190"/>
      <c r="K69" s="190"/>
      <c r="L69" s="190"/>
      <c r="M69" s="190"/>
      <c r="N69" s="190"/>
      <c r="O69" s="190"/>
      <c r="P69" s="190"/>
      <c r="Q69" s="190"/>
      <c r="R69" s="190"/>
      <c r="S69" s="190"/>
      <c r="T69" s="190"/>
      <c r="U69" s="190"/>
      <c r="V69" s="190"/>
      <c r="W69" s="190"/>
      <c r="X69" s="190"/>
      <c r="Y69" s="190"/>
      <c r="Z69" s="190"/>
      <c r="AA69" s="190"/>
      <c r="AB69" s="190"/>
      <c r="AC69" s="190"/>
      <c r="AD69" s="190"/>
      <c r="AE69" s="190"/>
      <c r="AF69" s="190"/>
      <c r="AG69" s="190"/>
      <c r="AH69" s="190"/>
      <c r="AI69" s="190"/>
      <c r="AJ69" s="190"/>
      <c r="AK69" s="190"/>
      <c r="AL69" s="190"/>
    </row>
    <row r="70" spans="1:38" x14ac:dyDescent="0.35">
      <c r="A70" s="190"/>
      <c r="B70" s="190"/>
      <c r="C70" s="190"/>
      <c r="D70" s="190"/>
      <c r="E70" s="190"/>
      <c r="F70" s="190"/>
      <c r="G70" s="190"/>
      <c r="H70" s="190"/>
      <c r="I70" s="190"/>
      <c r="J70" s="190"/>
      <c r="K70" s="190"/>
      <c r="L70" s="190"/>
      <c r="M70" s="190"/>
      <c r="N70" s="190"/>
      <c r="O70" s="190"/>
      <c r="P70" s="190"/>
      <c r="Q70" s="190"/>
      <c r="R70" s="190"/>
      <c r="S70" s="190"/>
      <c r="T70" s="190"/>
      <c r="U70" s="190"/>
      <c r="V70" s="190"/>
      <c r="W70" s="190"/>
      <c r="X70" s="190"/>
      <c r="Y70" s="190"/>
      <c r="Z70" s="190"/>
      <c r="AA70" s="190"/>
      <c r="AB70" s="190"/>
      <c r="AC70" s="190"/>
      <c r="AD70" s="190"/>
      <c r="AE70" s="190"/>
      <c r="AF70" s="190"/>
      <c r="AG70" s="190"/>
      <c r="AH70" s="190"/>
      <c r="AI70" s="190"/>
      <c r="AJ70" s="190"/>
      <c r="AK70" s="190"/>
      <c r="AL70" s="190"/>
    </row>
    <row r="71" spans="1:38" x14ac:dyDescent="0.35">
      <c r="A71" s="190"/>
      <c r="B71" s="190"/>
      <c r="C71" s="190"/>
      <c r="D71" s="190"/>
      <c r="E71" s="190"/>
      <c r="F71" s="190"/>
      <c r="G71" s="190"/>
      <c r="H71" s="190"/>
      <c r="I71" s="190"/>
      <c r="J71" s="190"/>
      <c r="K71" s="190"/>
      <c r="L71" s="190"/>
      <c r="M71" s="190"/>
      <c r="N71" s="190"/>
      <c r="O71" s="190"/>
      <c r="P71" s="190"/>
      <c r="Q71" s="190"/>
      <c r="R71" s="190"/>
      <c r="S71" s="190"/>
      <c r="T71" s="190"/>
      <c r="U71" s="190"/>
      <c r="V71" s="190"/>
      <c r="W71" s="190"/>
      <c r="X71" s="190"/>
      <c r="Y71" s="190"/>
      <c r="Z71" s="190"/>
      <c r="AA71" s="190"/>
      <c r="AB71" s="190"/>
      <c r="AC71" s="190"/>
      <c r="AD71" s="190"/>
      <c r="AE71" s="190"/>
      <c r="AF71" s="190"/>
      <c r="AG71" s="190"/>
      <c r="AH71" s="190"/>
      <c r="AI71" s="190"/>
      <c r="AJ71" s="190"/>
      <c r="AK71" s="190"/>
      <c r="AL71" s="190"/>
    </row>
    <row r="72" spans="1:38" x14ac:dyDescent="0.35">
      <c r="A72" s="190"/>
      <c r="B72" s="190"/>
      <c r="C72" s="190"/>
      <c r="D72" s="190"/>
      <c r="E72" s="190"/>
      <c r="F72" s="190"/>
      <c r="G72" s="190"/>
      <c r="H72" s="190"/>
      <c r="I72" s="190"/>
      <c r="J72" s="190"/>
      <c r="K72" s="190"/>
      <c r="L72" s="190"/>
      <c r="M72" s="190"/>
      <c r="N72" s="190"/>
      <c r="O72" s="190"/>
      <c r="P72" s="190"/>
      <c r="Q72" s="190"/>
      <c r="R72" s="190"/>
      <c r="S72" s="190"/>
      <c r="T72" s="190"/>
      <c r="U72" s="190"/>
      <c r="V72" s="190"/>
      <c r="W72" s="190"/>
      <c r="X72" s="190"/>
      <c r="Y72" s="190"/>
      <c r="Z72" s="190"/>
      <c r="AA72" s="190"/>
      <c r="AB72" s="190"/>
      <c r="AC72" s="190"/>
      <c r="AD72" s="190"/>
      <c r="AE72" s="190"/>
      <c r="AF72" s="190"/>
      <c r="AG72" s="190"/>
      <c r="AH72" s="190"/>
      <c r="AI72" s="190"/>
      <c r="AJ72" s="190"/>
      <c r="AK72" s="190"/>
      <c r="AL72" s="190"/>
    </row>
    <row r="73" spans="1:38" x14ac:dyDescent="0.35">
      <c r="A73" s="190"/>
      <c r="B73" s="190"/>
      <c r="C73" s="190"/>
      <c r="D73" s="190"/>
      <c r="E73" s="190"/>
      <c r="F73" s="190"/>
      <c r="G73" s="190"/>
      <c r="H73" s="190"/>
      <c r="I73" s="190"/>
      <c r="J73" s="190"/>
      <c r="K73" s="190"/>
      <c r="L73" s="190"/>
      <c r="M73" s="190"/>
      <c r="N73" s="190"/>
      <c r="O73" s="190"/>
      <c r="P73" s="190"/>
      <c r="Q73" s="190"/>
      <c r="R73" s="190"/>
      <c r="S73" s="190"/>
      <c r="T73" s="190"/>
      <c r="U73" s="190"/>
      <c r="V73" s="190"/>
      <c r="W73" s="190"/>
      <c r="X73" s="190"/>
      <c r="Y73" s="190"/>
      <c r="Z73" s="190"/>
      <c r="AA73" s="190"/>
      <c r="AB73" s="190"/>
      <c r="AC73" s="190"/>
      <c r="AD73" s="190"/>
      <c r="AE73" s="190"/>
      <c r="AF73" s="190"/>
      <c r="AG73" s="190"/>
      <c r="AH73" s="190"/>
      <c r="AI73" s="190"/>
      <c r="AJ73" s="190"/>
      <c r="AK73" s="190"/>
      <c r="AL73" s="190"/>
    </row>
    <row r="74" spans="1:38" x14ac:dyDescent="0.35">
      <c r="A74" s="190"/>
      <c r="B74" s="190"/>
      <c r="C74" s="190"/>
      <c r="D74" s="190"/>
      <c r="E74" s="190"/>
      <c r="F74" s="190"/>
      <c r="G74" s="190"/>
      <c r="H74" s="190"/>
      <c r="I74" s="190"/>
      <c r="J74" s="190"/>
      <c r="K74" s="190"/>
      <c r="L74" s="190"/>
      <c r="M74" s="190"/>
      <c r="N74" s="190"/>
      <c r="O74" s="190"/>
      <c r="P74" s="190"/>
      <c r="Q74" s="190"/>
      <c r="R74" s="190"/>
      <c r="S74" s="190"/>
      <c r="T74" s="190"/>
      <c r="U74" s="190"/>
      <c r="V74" s="190"/>
      <c r="W74" s="190"/>
      <c r="X74" s="190"/>
      <c r="Y74" s="190"/>
      <c r="Z74" s="190"/>
      <c r="AA74" s="190"/>
      <c r="AB74" s="190"/>
      <c r="AC74" s="190"/>
      <c r="AD74" s="190"/>
      <c r="AE74" s="190"/>
      <c r="AF74" s="190"/>
      <c r="AG74" s="190"/>
      <c r="AH74" s="190"/>
      <c r="AI74" s="190"/>
      <c r="AJ74" s="190"/>
      <c r="AK74" s="190"/>
      <c r="AL74" s="190"/>
    </row>
    <row r="75" spans="1:38" x14ac:dyDescent="0.35">
      <c r="A75" s="190"/>
      <c r="B75" s="190"/>
      <c r="C75" s="190"/>
      <c r="D75" s="190"/>
      <c r="E75" s="190"/>
      <c r="F75" s="190"/>
      <c r="G75" s="190"/>
      <c r="H75" s="190"/>
      <c r="I75" s="190"/>
      <c r="J75" s="190"/>
      <c r="K75" s="190"/>
      <c r="L75" s="190"/>
      <c r="M75" s="190"/>
      <c r="N75" s="190"/>
      <c r="O75" s="190"/>
      <c r="P75" s="190"/>
      <c r="Q75" s="190"/>
      <c r="R75" s="190"/>
      <c r="S75" s="190"/>
      <c r="T75" s="190"/>
      <c r="U75" s="190"/>
      <c r="V75" s="190"/>
      <c r="W75" s="190"/>
      <c r="X75" s="190"/>
      <c r="Y75" s="190"/>
      <c r="Z75" s="190"/>
      <c r="AA75" s="190"/>
      <c r="AB75" s="190"/>
      <c r="AC75" s="190"/>
      <c r="AD75" s="190"/>
      <c r="AE75" s="190"/>
      <c r="AF75" s="190"/>
      <c r="AG75" s="190"/>
      <c r="AH75" s="190"/>
      <c r="AI75" s="190"/>
      <c r="AJ75" s="190"/>
      <c r="AK75" s="190"/>
      <c r="AL75" s="190"/>
    </row>
    <row r="76" spans="1:38" x14ac:dyDescent="0.35">
      <c r="A76" s="190"/>
      <c r="B76" s="190"/>
      <c r="C76" s="190"/>
      <c r="D76" s="190"/>
      <c r="E76" s="190"/>
      <c r="F76" s="190"/>
      <c r="G76" s="190"/>
      <c r="H76" s="190"/>
      <c r="I76" s="190"/>
      <c r="J76" s="190"/>
      <c r="K76" s="190"/>
      <c r="L76" s="190"/>
      <c r="M76" s="190"/>
      <c r="N76" s="190"/>
      <c r="O76" s="190"/>
      <c r="P76" s="190"/>
      <c r="Q76" s="190"/>
      <c r="R76" s="190"/>
      <c r="S76" s="190"/>
      <c r="T76" s="190"/>
      <c r="U76" s="190"/>
      <c r="V76" s="190"/>
      <c r="W76" s="190"/>
      <c r="X76" s="190"/>
      <c r="Y76" s="190"/>
      <c r="Z76" s="190"/>
      <c r="AA76" s="190"/>
      <c r="AB76" s="190"/>
      <c r="AC76" s="190"/>
      <c r="AD76" s="190"/>
      <c r="AE76" s="190"/>
      <c r="AF76" s="190"/>
      <c r="AG76" s="190"/>
      <c r="AH76" s="190"/>
      <c r="AI76" s="190"/>
      <c r="AJ76" s="190"/>
      <c r="AK76" s="190"/>
      <c r="AL76" s="190"/>
    </row>
    <row r="77" spans="1:38" x14ac:dyDescent="0.35">
      <c r="A77" s="190"/>
      <c r="B77" s="190"/>
      <c r="C77" s="190"/>
      <c r="D77" s="190"/>
      <c r="E77" s="190"/>
      <c r="F77" s="190"/>
      <c r="G77" s="190"/>
      <c r="H77" s="190"/>
      <c r="I77" s="190"/>
      <c r="J77" s="190"/>
      <c r="K77" s="190"/>
      <c r="L77" s="190"/>
      <c r="M77" s="190"/>
      <c r="N77" s="190"/>
      <c r="O77" s="190"/>
      <c r="P77" s="190"/>
      <c r="Q77" s="190"/>
      <c r="R77" s="190"/>
      <c r="S77" s="190"/>
      <c r="T77" s="190"/>
      <c r="U77" s="190"/>
      <c r="V77" s="190"/>
      <c r="W77" s="190"/>
      <c r="X77" s="190"/>
      <c r="Y77" s="190"/>
      <c r="Z77" s="190"/>
      <c r="AA77" s="190"/>
      <c r="AB77" s="190"/>
      <c r="AC77" s="190"/>
      <c r="AD77" s="190"/>
      <c r="AE77" s="190"/>
      <c r="AF77" s="190"/>
      <c r="AG77" s="190"/>
      <c r="AH77" s="190"/>
      <c r="AI77" s="190"/>
      <c r="AJ77" s="190"/>
      <c r="AK77" s="190"/>
      <c r="AL77" s="190"/>
    </row>
    <row r="78" spans="1:38" x14ac:dyDescent="0.35">
      <c r="A78" s="190"/>
      <c r="B78" s="190"/>
      <c r="C78" s="190"/>
      <c r="D78" s="190"/>
      <c r="E78" s="190"/>
      <c r="F78" s="190"/>
      <c r="G78" s="190"/>
      <c r="H78" s="190"/>
      <c r="I78" s="190"/>
      <c r="J78" s="190"/>
      <c r="K78" s="190"/>
      <c r="L78" s="190"/>
      <c r="M78" s="190"/>
      <c r="N78" s="190"/>
      <c r="O78" s="190"/>
      <c r="P78" s="190"/>
      <c r="Q78" s="190"/>
      <c r="R78" s="190"/>
      <c r="S78" s="190"/>
      <c r="T78" s="190"/>
      <c r="U78" s="190"/>
      <c r="V78" s="190"/>
      <c r="W78" s="190"/>
      <c r="X78" s="190"/>
      <c r="Y78" s="190"/>
      <c r="Z78" s="190"/>
      <c r="AA78" s="190"/>
      <c r="AB78" s="190"/>
      <c r="AC78" s="190"/>
      <c r="AD78" s="190"/>
      <c r="AE78" s="190"/>
      <c r="AF78" s="190"/>
      <c r="AG78" s="190"/>
      <c r="AH78" s="190"/>
      <c r="AI78" s="190"/>
      <c r="AJ78" s="190"/>
      <c r="AK78" s="190"/>
      <c r="AL78" s="190"/>
    </row>
    <row r="79" spans="1:38" x14ac:dyDescent="0.35">
      <c r="A79" s="190"/>
      <c r="B79" s="190"/>
      <c r="C79" s="190"/>
      <c r="D79" s="190"/>
      <c r="E79" s="190"/>
      <c r="F79" s="190"/>
      <c r="G79" s="190"/>
      <c r="H79" s="190"/>
      <c r="I79" s="190"/>
      <c r="J79" s="190"/>
      <c r="K79" s="190"/>
      <c r="L79" s="190"/>
      <c r="M79" s="190"/>
      <c r="N79" s="190"/>
      <c r="O79" s="190"/>
      <c r="P79" s="190"/>
      <c r="Q79" s="190"/>
      <c r="R79" s="190"/>
      <c r="S79" s="190"/>
      <c r="T79" s="190"/>
      <c r="U79" s="190"/>
      <c r="V79" s="190"/>
      <c r="W79" s="190"/>
      <c r="X79" s="190"/>
      <c r="Y79" s="190"/>
      <c r="Z79" s="190"/>
      <c r="AA79" s="190"/>
      <c r="AB79" s="190"/>
      <c r="AC79" s="190"/>
      <c r="AD79" s="190"/>
      <c r="AE79" s="190"/>
      <c r="AF79" s="190"/>
      <c r="AG79" s="190"/>
      <c r="AH79" s="190"/>
      <c r="AI79" s="190"/>
      <c r="AJ79" s="190"/>
      <c r="AK79" s="190"/>
      <c r="AL79" s="190"/>
    </row>
    <row r="80" spans="1:38" x14ac:dyDescent="0.35">
      <c r="A80" s="190"/>
      <c r="B80" s="190"/>
      <c r="C80" s="190"/>
      <c r="D80" s="190"/>
      <c r="E80" s="190"/>
      <c r="F80" s="190"/>
      <c r="G80" s="190"/>
      <c r="H80" s="190"/>
      <c r="I80" s="190"/>
      <c r="J80" s="190"/>
      <c r="K80" s="190"/>
      <c r="L80" s="190"/>
      <c r="M80" s="190"/>
      <c r="N80" s="190"/>
      <c r="O80" s="190"/>
      <c r="P80" s="190"/>
      <c r="Q80" s="190"/>
      <c r="R80" s="190"/>
      <c r="S80" s="190"/>
      <c r="T80" s="190"/>
      <c r="U80" s="190"/>
      <c r="V80" s="190"/>
      <c r="W80" s="190"/>
      <c r="X80" s="190"/>
      <c r="Y80" s="190"/>
      <c r="Z80" s="190"/>
      <c r="AA80" s="190"/>
      <c r="AB80" s="190"/>
      <c r="AC80" s="190"/>
      <c r="AD80" s="190"/>
      <c r="AE80" s="190"/>
      <c r="AF80" s="190"/>
      <c r="AG80" s="190"/>
      <c r="AH80" s="190"/>
      <c r="AI80" s="190"/>
      <c r="AJ80" s="190"/>
      <c r="AK80" s="190"/>
      <c r="AL80" s="190"/>
    </row>
    <row r="81" spans="1:43" x14ac:dyDescent="0.35">
      <c r="A81" s="190"/>
      <c r="B81" s="190"/>
      <c r="C81" s="190"/>
      <c r="D81" s="190"/>
      <c r="E81" s="190"/>
      <c r="F81" s="190"/>
      <c r="G81" s="190"/>
      <c r="H81" s="190"/>
      <c r="I81" s="190"/>
      <c r="J81" s="190"/>
      <c r="K81" s="190"/>
      <c r="L81" s="190"/>
      <c r="M81" s="190"/>
      <c r="N81" s="190"/>
      <c r="O81" s="190"/>
      <c r="P81" s="190"/>
      <c r="Q81" s="190"/>
      <c r="R81" s="190"/>
      <c r="S81" s="190"/>
      <c r="T81" s="190"/>
      <c r="U81" s="190"/>
      <c r="V81" s="190"/>
      <c r="W81" s="190"/>
      <c r="X81" s="190"/>
      <c r="Y81" s="190"/>
      <c r="Z81" s="190"/>
      <c r="AA81" s="190"/>
      <c r="AB81" s="190"/>
      <c r="AC81" s="190"/>
      <c r="AD81" s="190"/>
      <c r="AE81" s="190"/>
      <c r="AF81" s="190"/>
      <c r="AG81" s="190"/>
      <c r="AH81" s="190"/>
      <c r="AI81" s="190"/>
      <c r="AJ81" s="190"/>
      <c r="AK81" s="190"/>
      <c r="AL81" s="190"/>
    </row>
    <row r="82" spans="1:43" x14ac:dyDescent="0.35">
      <c r="A82" s="190"/>
      <c r="B82" s="190"/>
      <c r="C82" s="190"/>
      <c r="D82" s="190"/>
      <c r="E82" s="190"/>
      <c r="F82" s="190"/>
      <c r="G82" s="190"/>
      <c r="H82" s="190"/>
      <c r="I82" s="190"/>
      <c r="J82" s="190"/>
      <c r="K82" s="190"/>
      <c r="L82" s="190"/>
      <c r="M82" s="190"/>
      <c r="N82" s="190"/>
      <c r="O82" s="190"/>
      <c r="P82" s="190"/>
      <c r="Q82" s="190"/>
      <c r="R82" s="190"/>
      <c r="S82" s="190"/>
      <c r="T82" s="190"/>
      <c r="U82" s="190"/>
      <c r="V82" s="190"/>
      <c r="W82" s="190"/>
      <c r="X82" s="190"/>
      <c r="Y82" s="190"/>
      <c r="Z82" s="190"/>
      <c r="AA82" s="190"/>
      <c r="AB82" s="190"/>
      <c r="AC82" s="190"/>
      <c r="AD82" s="190"/>
      <c r="AE82" s="190"/>
      <c r="AF82" s="190"/>
      <c r="AG82" s="190"/>
      <c r="AH82" s="190"/>
      <c r="AI82" s="190"/>
      <c r="AJ82" s="190"/>
      <c r="AK82" s="190"/>
      <c r="AL82" s="190"/>
    </row>
    <row r="83" spans="1:43" x14ac:dyDescent="0.35">
      <c r="A83" s="190"/>
      <c r="B83" s="190"/>
      <c r="C83" s="190"/>
      <c r="D83" s="190"/>
      <c r="E83" s="190"/>
      <c r="F83" s="190"/>
      <c r="G83" s="190"/>
      <c r="H83" s="190"/>
      <c r="I83" s="190"/>
      <c r="J83" s="190"/>
      <c r="K83" s="190"/>
      <c r="L83" s="190"/>
      <c r="M83" s="190"/>
      <c r="N83" s="190"/>
      <c r="O83" s="190"/>
      <c r="P83" s="190"/>
      <c r="Q83" s="190"/>
      <c r="R83" s="190"/>
      <c r="S83" s="190"/>
      <c r="T83" s="190"/>
      <c r="U83" s="190"/>
      <c r="V83" s="190"/>
      <c r="W83" s="190"/>
      <c r="X83" s="190"/>
      <c r="Y83" s="190"/>
      <c r="Z83" s="190"/>
      <c r="AA83" s="190"/>
      <c r="AB83" s="190"/>
      <c r="AC83" s="190"/>
      <c r="AD83" s="190"/>
      <c r="AE83" s="190"/>
      <c r="AF83" s="190"/>
      <c r="AG83" s="190"/>
      <c r="AH83" s="190"/>
      <c r="AI83" s="190"/>
      <c r="AJ83" s="190"/>
      <c r="AK83" s="190"/>
      <c r="AL83" s="190"/>
    </row>
    <row r="84" spans="1:43" x14ac:dyDescent="0.35">
      <c r="A84" s="190"/>
      <c r="B84" s="190"/>
      <c r="C84" s="190"/>
      <c r="D84" s="190"/>
      <c r="E84" s="190"/>
      <c r="F84" s="190"/>
      <c r="G84" s="190"/>
      <c r="H84" s="190"/>
      <c r="I84" s="190"/>
      <c r="J84" s="190"/>
      <c r="K84" s="190"/>
      <c r="L84" s="190"/>
      <c r="M84" s="190"/>
      <c r="N84" s="190"/>
      <c r="O84" s="190"/>
      <c r="P84" s="190"/>
      <c r="Q84" s="190"/>
      <c r="R84" s="190"/>
      <c r="S84" s="190"/>
      <c r="T84" s="190"/>
      <c r="U84" s="190"/>
      <c r="V84" s="190"/>
      <c r="W84" s="190"/>
      <c r="X84" s="190"/>
      <c r="Y84" s="190"/>
      <c r="Z84" s="190"/>
      <c r="AA84" s="190"/>
      <c r="AB84" s="190"/>
      <c r="AC84" s="190"/>
      <c r="AD84" s="190"/>
      <c r="AE84" s="190"/>
      <c r="AF84" s="190"/>
      <c r="AG84" s="190"/>
      <c r="AH84" s="190"/>
      <c r="AI84" s="190"/>
      <c r="AJ84" s="190"/>
      <c r="AK84" s="190"/>
      <c r="AL84" s="190"/>
      <c r="AM84" s="195"/>
      <c r="AN84" s="195"/>
      <c r="AO84" s="195"/>
      <c r="AP84" s="195"/>
      <c r="AQ84" s="195"/>
    </row>
    <row r="85" spans="1:43" x14ac:dyDescent="0.35">
      <c r="A85" s="190"/>
      <c r="B85" s="190"/>
      <c r="C85" s="190"/>
      <c r="D85" s="190"/>
      <c r="E85" s="190"/>
      <c r="F85" s="190"/>
      <c r="G85" s="190"/>
      <c r="H85" s="190"/>
      <c r="I85" s="190"/>
      <c r="J85" s="190"/>
      <c r="K85" s="190"/>
      <c r="L85" s="190"/>
      <c r="M85" s="190"/>
      <c r="N85" s="190"/>
      <c r="O85" s="190"/>
      <c r="P85" s="190"/>
      <c r="Q85" s="190"/>
      <c r="R85" s="190"/>
      <c r="S85" s="190"/>
      <c r="T85" s="190"/>
      <c r="U85" s="190"/>
      <c r="V85" s="190"/>
      <c r="W85" s="190"/>
      <c r="X85" s="190"/>
      <c r="Y85" s="190"/>
      <c r="Z85" s="190"/>
      <c r="AA85" s="190"/>
      <c r="AB85" s="190"/>
      <c r="AC85" s="190"/>
      <c r="AD85" s="190"/>
      <c r="AE85" s="190"/>
      <c r="AF85" s="190"/>
      <c r="AG85" s="190"/>
      <c r="AH85" s="190"/>
      <c r="AI85" s="190"/>
      <c r="AJ85" s="190"/>
      <c r="AK85" s="190"/>
      <c r="AL85" s="190"/>
      <c r="AM85" s="195"/>
      <c r="AN85" s="195"/>
      <c r="AO85" s="195"/>
      <c r="AP85" s="195"/>
      <c r="AQ85" s="195"/>
    </row>
    <row r="86" spans="1:43" ht="15" customHeight="1" x14ac:dyDescent="0.35">
      <c r="A86" s="190"/>
      <c r="B86" s="190"/>
      <c r="C86" s="190"/>
      <c r="D86" s="190"/>
      <c r="E86" s="190"/>
      <c r="F86" s="190"/>
      <c r="G86" s="190"/>
      <c r="H86" s="190"/>
      <c r="I86" s="190"/>
      <c r="J86" s="190"/>
      <c r="K86" s="190"/>
      <c r="L86" s="190"/>
      <c r="M86" s="190"/>
      <c r="N86" s="190"/>
      <c r="O86" s="190"/>
      <c r="P86" s="190"/>
      <c r="Q86" s="190"/>
      <c r="R86" s="190"/>
      <c r="S86" s="190"/>
      <c r="T86" s="190"/>
      <c r="U86" s="190"/>
      <c r="V86" s="190"/>
      <c r="W86" s="190"/>
      <c r="X86" s="190"/>
      <c r="Y86" s="190"/>
      <c r="Z86" s="190"/>
      <c r="AA86" s="190"/>
      <c r="AB86" s="190"/>
      <c r="AC86" s="190"/>
      <c r="AD86" s="190"/>
      <c r="AE86" s="190"/>
      <c r="AF86" s="190"/>
      <c r="AG86" s="190"/>
      <c r="AH86" s="190"/>
      <c r="AI86" s="190"/>
      <c r="AJ86" s="190"/>
      <c r="AK86" s="190"/>
      <c r="AL86" s="190"/>
      <c r="AM86" s="195"/>
      <c r="AN86" s="195"/>
      <c r="AO86" s="195"/>
      <c r="AP86" s="195"/>
      <c r="AQ86" s="195"/>
    </row>
    <row r="87" spans="1:43" x14ac:dyDescent="0.35">
      <c r="A87" s="190"/>
      <c r="B87" s="190"/>
      <c r="C87" s="190"/>
      <c r="D87" s="190"/>
      <c r="E87" s="190"/>
      <c r="F87" s="190"/>
      <c r="G87" s="190"/>
      <c r="H87" s="190"/>
      <c r="I87" s="190"/>
      <c r="J87" s="190"/>
      <c r="K87" s="190"/>
      <c r="L87" s="190"/>
      <c r="M87" s="190"/>
      <c r="N87" s="190"/>
      <c r="O87" s="190"/>
      <c r="P87" s="190"/>
      <c r="Q87" s="190"/>
      <c r="R87" s="190"/>
      <c r="S87" s="190"/>
      <c r="T87" s="190"/>
      <c r="U87" s="190"/>
      <c r="V87" s="190"/>
      <c r="W87" s="190"/>
      <c r="X87" s="190"/>
      <c r="Y87" s="190"/>
      <c r="Z87" s="190"/>
      <c r="AA87" s="190"/>
      <c r="AB87" s="190"/>
      <c r="AC87" s="190"/>
      <c r="AD87" s="190"/>
      <c r="AE87" s="190"/>
      <c r="AF87" s="190"/>
      <c r="AG87" s="190"/>
      <c r="AH87" s="190"/>
      <c r="AI87" s="190"/>
      <c r="AJ87" s="190"/>
      <c r="AK87" s="190"/>
      <c r="AL87" s="190"/>
      <c r="AM87" s="195"/>
      <c r="AN87" s="195"/>
      <c r="AO87" s="195"/>
      <c r="AP87" s="195"/>
      <c r="AQ87" s="195"/>
    </row>
    <row r="88" spans="1:43" x14ac:dyDescent="0.35">
      <c r="A88" s="190"/>
      <c r="B88" s="190"/>
      <c r="C88" s="190"/>
      <c r="D88" s="190"/>
      <c r="E88" s="190"/>
      <c r="F88" s="190"/>
      <c r="G88" s="190"/>
      <c r="H88" s="190"/>
      <c r="I88" s="190"/>
      <c r="J88" s="190"/>
      <c r="K88" s="190"/>
      <c r="L88" s="190"/>
      <c r="M88" s="190"/>
      <c r="N88" s="190"/>
      <c r="O88" s="190"/>
      <c r="P88" s="190"/>
      <c r="Q88" s="190"/>
      <c r="R88" s="190"/>
      <c r="S88" s="190"/>
      <c r="T88" s="190"/>
      <c r="U88" s="190"/>
      <c r="V88" s="190"/>
      <c r="W88" s="190"/>
      <c r="X88" s="190"/>
      <c r="Y88" s="190"/>
      <c r="Z88" s="190"/>
      <c r="AA88" s="190"/>
      <c r="AB88" s="190"/>
      <c r="AC88" s="190"/>
      <c r="AD88" s="190"/>
      <c r="AE88" s="190"/>
      <c r="AF88" s="190"/>
      <c r="AG88" s="190"/>
      <c r="AH88" s="190"/>
      <c r="AI88" s="190"/>
      <c r="AJ88" s="190"/>
      <c r="AK88" s="190"/>
      <c r="AL88" s="190"/>
      <c r="AM88" s="195"/>
      <c r="AN88" s="195"/>
      <c r="AO88" s="195"/>
      <c r="AP88" s="195"/>
      <c r="AQ88" s="195"/>
    </row>
    <row r="89" spans="1:43" x14ac:dyDescent="0.35">
      <c r="A89" s="190"/>
      <c r="B89" s="190"/>
      <c r="C89" s="190"/>
      <c r="D89" s="190"/>
      <c r="E89" s="190"/>
      <c r="F89" s="190"/>
      <c r="G89" s="190"/>
      <c r="H89" s="190"/>
      <c r="I89" s="190"/>
      <c r="J89" s="190"/>
      <c r="K89" s="190"/>
      <c r="L89" s="190"/>
      <c r="M89" s="190"/>
      <c r="N89" s="190"/>
      <c r="O89" s="190"/>
      <c r="P89" s="190"/>
      <c r="Q89" s="190"/>
      <c r="R89" s="190"/>
      <c r="S89" s="190"/>
      <c r="T89" s="190"/>
      <c r="U89" s="190"/>
      <c r="V89" s="190"/>
      <c r="W89" s="190"/>
      <c r="X89" s="190"/>
      <c r="Y89" s="190"/>
      <c r="Z89" s="190"/>
      <c r="AA89" s="190"/>
      <c r="AB89" s="190"/>
      <c r="AC89" s="190"/>
      <c r="AD89" s="190"/>
      <c r="AE89" s="190"/>
      <c r="AF89" s="190"/>
      <c r="AG89" s="190"/>
      <c r="AH89" s="190"/>
      <c r="AI89" s="190"/>
      <c r="AJ89" s="190"/>
      <c r="AK89" s="190"/>
      <c r="AL89" s="190"/>
      <c r="AM89" s="215"/>
      <c r="AN89" s="215"/>
      <c r="AO89" s="215"/>
      <c r="AP89" s="215"/>
      <c r="AQ89" s="195"/>
    </row>
    <row r="90" spans="1:43" x14ac:dyDescent="0.35">
      <c r="A90" s="190"/>
      <c r="B90" s="190"/>
      <c r="C90" s="190"/>
      <c r="D90" s="190"/>
      <c r="E90" s="190"/>
      <c r="F90" s="190"/>
      <c r="G90" s="190"/>
      <c r="H90" s="190"/>
      <c r="I90" s="190"/>
      <c r="J90" s="190"/>
      <c r="K90" s="190"/>
      <c r="L90" s="190"/>
      <c r="M90" s="190"/>
      <c r="N90" s="190"/>
      <c r="O90" s="190"/>
      <c r="P90" s="190"/>
      <c r="Q90" s="190"/>
      <c r="R90" s="190"/>
      <c r="S90" s="190"/>
      <c r="T90" s="190"/>
      <c r="U90" s="190"/>
      <c r="V90" s="190"/>
      <c r="W90" s="190"/>
      <c r="X90" s="190"/>
      <c r="Y90" s="190"/>
      <c r="Z90" s="190"/>
      <c r="AA90" s="190"/>
      <c r="AB90" s="190"/>
      <c r="AC90" s="190"/>
      <c r="AD90" s="190"/>
      <c r="AE90" s="190"/>
      <c r="AF90" s="190"/>
      <c r="AG90" s="190"/>
      <c r="AH90" s="190"/>
      <c r="AI90" s="190"/>
      <c r="AJ90" s="190"/>
      <c r="AK90" s="190"/>
      <c r="AL90" s="190"/>
      <c r="AM90" s="215"/>
      <c r="AN90" s="215"/>
      <c r="AO90" s="215"/>
      <c r="AP90" s="215"/>
      <c r="AQ90" s="195"/>
    </row>
    <row r="91" spans="1:43" x14ac:dyDescent="0.35">
      <c r="A91" s="190"/>
      <c r="B91" s="190"/>
      <c r="C91" s="190"/>
      <c r="D91" s="190"/>
      <c r="E91" s="190"/>
      <c r="F91" s="190"/>
      <c r="G91" s="190"/>
      <c r="H91" s="190"/>
      <c r="I91" s="190"/>
      <c r="J91" s="190"/>
      <c r="K91" s="190"/>
      <c r="L91" s="190"/>
      <c r="M91" s="190"/>
      <c r="N91" s="190"/>
      <c r="O91" s="190"/>
      <c r="P91" s="190"/>
      <c r="Q91" s="190"/>
      <c r="R91" s="190"/>
      <c r="S91" s="190"/>
      <c r="T91" s="190"/>
      <c r="U91" s="190"/>
      <c r="V91" s="190"/>
      <c r="W91" s="190"/>
      <c r="X91" s="190"/>
      <c r="Y91" s="190"/>
      <c r="Z91" s="190"/>
      <c r="AA91" s="190"/>
      <c r="AB91" s="190"/>
      <c r="AC91" s="190"/>
      <c r="AD91" s="190"/>
      <c r="AE91" s="190"/>
      <c r="AF91" s="190"/>
      <c r="AG91" s="190"/>
      <c r="AH91" s="190"/>
      <c r="AI91" s="190"/>
      <c r="AJ91" s="190"/>
      <c r="AK91" s="190"/>
      <c r="AL91" s="190"/>
      <c r="AM91" s="215"/>
      <c r="AN91" s="215"/>
      <c r="AO91" s="215"/>
      <c r="AP91" s="215"/>
      <c r="AQ91" s="195"/>
    </row>
    <row r="92" spans="1:43" x14ac:dyDescent="0.35">
      <c r="A92" s="190"/>
      <c r="B92" s="190"/>
      <c r="C92" s="190"/>
      <c r="D92" s="190"/>
      <c r="E92" s="190"/>
      <c r="F92" s="190"/>
      <c r="G92" s="190"/>
      <c r="H92" s="190"/>
      <c r="I92" s="190"/>
      <c r="J92" s="190"/>
      <c r="K92" s="190"/>
      <c r="L92" s="190"/>
      <c r="M92" s="190"/>
      <c r="N92" s="190"/>
      <c r="O92" s="190"/>
      <c r="P92" s="190"/>
      <c r="Q92" s="190"/>
      <c r="R92" s="190"/>
      <c r="S92" s="190"/>
      <c r="T92" s="190"/>
      <c r="U92" s="190"/>
      <c r="V92" s="190"/>
      <c r="W92" s="190"/>
      <c r="X92" s="190"/>
      <c r="Y92" s="190"/>
      <c r="Z92" s="190"/>
      <c r="AA92" s="190"/>
      <c r="AB92" s="190"/>
      <c r="AC92" s="190"/>
      <c r="AD92" s="190"/>
      <c r="AE92" s="190"/>
      <c r="AF92" s="190"/>
      <c r="AG92" s="190"/>
      <c r="AH92" s="190"/>
      <c r="AI92" s="190"/>
      <c r="AJ92" s="190"/>
      <c r="AK92" s="190"/>
      <c r="AL92" s="190"/>
      <c r="AM92" s="215"/>
      <c r="AN92" s="215"/>
      <c r="AO92" s="215"/>
      <c r="AP92" s="215"/>
      <c r="AQ92" s="195"/>
    </row>
    <row r="93" spans="1:43" x14ac:dyDescent="0.35">
      <c r="A93" s="190"/>
      <c r="B93" s="190"/>
      <c r="C93" s="190"/>
      <c r="D93" s="190"/>
      <c r="E93" s="190"/>
      <c r="F93" s="190"/>
      <c r="G93" s="190"/>
      <c r="H93" s="190"/>
      <c r="I93" s="190"/>
      <c r="J93" s="190"/>
      <c r="K93" s="190"/>
      <c r="L93" s="190"/>
      <c r="M93" s="190"/>
      <c r="N93" s="190"/>
      <c r="O93" s="190"/>
      <c r="P93" s="190"/>
      <c r="Q93" s="190"/>
      <c r="R93" s="190"/>
      <c r="S93" s="190"/>
      <c r="T93" s="190"/>
      <c r="U93" s="190"/>
      <c r="V93" s="190"/>
      <c r="W93" s="190"/>
      <c r="X93" s="190"/>
      <c r="Y93" s="190"/>
      <c r="Z93" s="190"/>
      <c r="AA93" s="190"/>
      <c r="AB93" s="190"/>
      <c r="AC93" s="190"/>
      <c r="AD93" s="190"/>
      <c r="AE93" s="190"/>
      <c r="AF93" s="190"/>
      <c r="AG93" s="190"/>
      <c r="AH93" s="190"/>
      <c r="AI93" s="190"/>
      <c r="AJ93" s="190"/>
      <c r="AK93" s="190"/>
      <c r="AL93" s="190"/>
      <c r="AM93" s="215"/>
      <c r="AN93" s="215"/>
      <c r="AO93" s="215"/>
      <c r="AP93" s="215"/>
      <c r="AQ93" s="195"/>
    </row>
    <row r="94" spans="1:43" x14ac:dyDescent="0.35">
      <c r="A94" s="190"/>
      <c r="B94" s="190"/>
      <c r="C94" s="190"/>
      <c r="D94" s="190"/>
      <c r="E94" s="190"/>
      <c r="F94" s="190"/>
      <c r="G94" s="190"/>
      <c r="H94" s="190"/>
      <c r="I94" s="190"/>
      <c r="J94" s="190"/>
      <c r="K94" s="190"/>
      <c r="L94" s="190"/>
      <c r="M94" s="190"/>
      <c r="N94" s="190"/>
      <c r="O94" s="190"/>
      <c r="P94" s="190"/>
      <c r="Q94" s="190"/>
      <c r="R94" s="190"/>
      <c r="S94" s="190"/>
      <c r="T94" s="190"/>
      <c r="U94" s="190"/>
      <c r="V94" s="190"/>
      <c r="W94" s="190"/>
      <c r="X94" s="190"/>
      <c r="Y94" s="190"/>
      <c r="Z94" s="190"/>
      <c r="AA94" s="190"/>
      <c r="AB94" s="190"/>
      <c r="AC94" s="190"/>
      <c r="AD94" s="190"/>
      <c r="AE94" s="190"/>
      <c r="AF94" s="190"/>
      <c r="AG94" s="190"/>
      <c r="AH94" s="190"/>
      <c r="AI94" s="190"/>
      <c r="AJ94" s="190"/>
      <c r="AK94" s="190"/>
      <c r="AL94" s="190"/>
      <c r="AM94" s="215"/>
      <c r="AN94" s="215"/>
      <c r="AO94" s="215"/>
      <c r="AP94" s="215"/>
      <c r="AQ94" s="195"/>
    </row>
    <row r="95" spans="1:43" x14ac:dyDescent="0.35">
      <c r="A95" s="190"/>
      <c r="B95" s="190"/>
      <c r="C95" s="190"/>
      <c r="D95" s="190"/>
      <c r="E95" s="190"/>
      <c r="F95" s="190"/>
      <c r="G95" s="190"/>
      <c r="H95" s="190"/>
      <c r="I95" s="190"/>
      <c r="J95" s="190"/>
      <c r="K95" s="190"/>
      <c r="L95" s="190"/>
      <c r="M95" s="190"/>
      <c r="N95" s="190"/>
      <c r="O95" s="190"/>
      <c r="P95" s="190"/>
      <c r="Q95" s="190"/>
      <c r="R95" s="190"/>
      <c r="S95" s="190"/>
      <c r="T95" s="190"/>
      <c r="U95" s="190"/>
      <c r="V95" s="190"/>
      <c r="W95" s="190"/>
      <c r="X95" s="190"/>
      <c r="Y95" s="190"/>
      <c r="Z95" s="190"/>
      <c r="AA95" s="190"/>
      <c r="AB95" s="190"/>
      <c r="AC95" s="190"/>
      <c r="AD95" s="190"/>
      <c r="AE95" s="190"/>
      <c r="AF95" s="190"/>
      <c r="AG95" s="190"/>
      <c r="AH95" s="190"/>
      <c r="AI95" s="190"/>
      <c r="AJ95" s="190"/>
      <c r="AK95" s="190"/>
      <c r="AL95" s="190"/>
      <c r="AM95" s="215"/>
      <c r="AN95" s="215"/>
      <c r="AO95" s="215"/>
      <c r="AP95" s="215"/>
      <c r="AQ95" s="195"/>
    </row>
    <row r="96" spans="1:43" x14ac:dyDescent="0.35">
      <c r="A96" s="190"/>
      <c r="B96" s="190"/>
      <c r="C96" s="190"/>
      <c r="D96" s="190"/>
      <c r="E96" s="190"/>
      <c r="F96" s="190"/>
      <c r="G96" s="190"/>
      <c r="H96" s="190"/>
      <c r="I96" s="190"/>
      <c r="J96" s="190"/>
      <c r="K96" s="190"/>
      <c r="L96" s="190"/>
      <c r="M96" s="190"/>
      <c r="N96" s="190"/>
      <c r="O96" s="190"/>
      <c r="P96" s="190"/>
      <c r="Q96" s="190"/>
      <c r="R96" s="190"/>
      <c r="S96" s="190"/>
      <c r="T96" s="190"/>
      <c r="U96" s="190"/>
      <c r="V96" s="190"/>
      <c r="W96" s="190"/>
      <c r="X96" s="190"/>
      <c r="Y96" s="190"/>
      <c r="Z96" s="190"/>
      <c r="AA96" s="190"/>
      <c r="AB96" s="190"/>
      <c r="AC96" s="190"/>
      <c r="AD96" s="190"/>
      <c r="AE96" s="190"/>
      <c r="AF96" s="190"/>
      <c r="AG96" s="190"/>
      <c r="AH96" s="190"/>
      <c r="AI96" s="190"/>
      <c r="AJ96" s="190"/>
      <c r="AK96" s="190"/>
      <c r="AL96" s="190"/>
      <c r="AM96" s="215"/>
      <c r="AN96" s="215"/>
      <c r="AO96" s="215"/>
      <c r="AP96" s="215"/>
      <c r="AQ96" s="195"/>
    </row>
    <row r="97" spans="1:43" x14ac:dyDescent="0.35">
      <c r="A97" s="190"/>
      <c r="B97" s="190"/>
      <c r="C97" s="190"/>
      <c r="D97" s="190"/>
      <c r="E97" s="190"/>
      <c r="F97" s="190"/>
      <c r="G97" s="190"/>
      <c r="H97" s="190"/>
      <c r="I97" s="190"/>
      <c r="J97" s="190"/>
      <c r="K97" s="190"/>
      <c r="L97" s="190"/>
      <c r="M97" s="190"/>
      <c r="N97" s="190"/>
      <c r="O97" s="190"/>
      <c r="P97" s="190"/>
      <c r="Q97" s="190"/>
      <c r="R97" s="190"/>
      <c r="S97" s="190"/>
      <c r="T97" s="190"/>
      <c r="U97" s="190"/>
      <c r="V97" s="190"/>
      <c r="W97" s="190"/>
      <c r="X97" s="190"/>
      <c r="Y97" s="190"/>
      <c r="Z97" s="190"/>
      <c r="AA97" s="190"/>
      <c r="AB97" s="190"/>
      <c r="AC97" s="190"/>
      <c r="AD97" s="190"/>
      <c r="AE97" s="190"/>
      <c r="AF97" s="190"/>
      <c r="AG97" s="190"/>
      <c r="AH97" s="190"/>
      <c r="AI97" s="190"/>
      <c r="AJ97" s="190"/>
      <c r="AK97" s="190"/>
      <c r="AL97" s="190"/>
      <c r="AM97" s="215"/>
      <c r="AN97" s="215"/>
      <c r="AO97" s="215"/>
      <c r="AP97" s="215"/>
      <c r="AQ97" s="195"/>
    </row>
    <row r="98" spans="1:43" x14ac:dyDescent="0.35">
      <c r="A98" s="190"/>
      <c r="B98" s="190"/>
      <c r="C98" s="190"/>
      <c r="D98" s="190"/>
      <c r="E98" s="190"/>
      <c r="F98" s="190"/>
      <c r="G98" s="190"/>
      <c r="H98" s="190"/>
      <c r="I98" s="190"/>
      <c r="J98" s="190"/>
      <c r="K98" s="190"/>
      <c r="L98" s="190"/>
      <c r="M98" s="190"/>
      <c r="N98" s="190"/>
      <c r="O98" s="190"/>
      <c r="P98" s="190"/>
      <c r="Q98" s="190"/>
      <c r="R98" s="190"/>
      <c r="S98" s="190"/>
      <c r="T98" s="190"/>
      <c r="U98" s="190"/>
      <c r="V98" s="190"/>
      <c r="W98" s="190"/>
      <c r="X98" s="190"/>
      <c r="Y98" s="190"/>
      <c r="Z98" s="190"/>
      <c r="AA98" s="190"/>
      <c r="AB98" s="190"/>
      <c r="AC98" s="190"/>
      <c r="AD98" s="190"/>
      <c r="AE98" s="190"/>
      <c r="AF98" s="190"/>
      <c r="AG98" s="190"/>
      <c r="AH98" s="190"/>
      <c r="AI98" s="190"/>
      <c r="AJ98" s="190"/>
      <c r="AK98" s="190"/>
      <c r="AL98" s="190"/>
      <c r="AM98" s="215"/>
      <c r="AN98" s="215"/>
      <c r="AO98" s="215"/>
      <c r="AP98" s="215"/>
      <c r="AQ98" s="195"/>
    </row>
    <row r="99" spans="1:43" x14ac:dyDescent="0.35">
      <c r="A99" s="190"/>
      <c r="B99" s="190"/>
      <c r="C99" s="190"/>
      <c r="D99" s="190"/>
      <c r="E99" s="190"/>
      <c r="F99" s="190"/>
      <c r="G99" s="190"/>
      <c r="H99" s="190"/>
      <c r="I99" s="190"/>
      <c r="J99" s="190"/>
      <c r="K99" s="190"/>
      <c r="L99" s="190"/>
      <c r="M99" s="190"/>
      <c r="N99" s="190"/>
      <c r="O99" s="190"/>
      <c r="P99" s="190"/>
      <c r="Q99" s="190"/>
      <c r="R99" s="190"/>
      <c r="S99" s="190"/>
      <c r="T99" s="190"/>
      <c r="U99" s="190"/>
      <c r="V99" s="190"/>
      <c r="W99" s="190"/>
      <c r="X99" s="190"/>
      <c r="Y99" s="190"/>
      <c r="Z99" s="190"/>
      <c r="AA99" s="190"/>
      <c r="AB99" s="190"/>
      <c r="AC99" s="190"/>
      <c r="AD99" s="190"/>
      <c r="AE99" s="190"/>
      <c r="AF99" s="190"/>
      <c r="AG99" s="190"/>
      <c r="AH99" s="190"/>
      <c r="AI99" s="190"/>
      <c r="AJ99" s="190"/>
      <c r="AK99" s="190"/>
      <c r="AL99" s="190"/>
      <c r="AM99" s="215"/>
      <c r="AN99" s="215"/>
      <c r="AO99" s="215"/>
      <c r="AP99" s="215"/>
      <c r="AQ99" s="195"/>
    </row>
    <row r="100" spans="1:43" x14ac:dyDescent="0.35">
      <c r="A100" s="190"/>
      <c r="B100" s="190"/>
      <c r="C100" s="190"/>
      <c r="D100" s="190"/>
      <c r="E100" s="190"/>
      <c r="F100" s="190"/>
      <c r="G100" s="190"/>
      <c r="H100" s="190"/>
      <c r="I100" s="190"/>
      <c r="J100" s="190"/>
      <c r="K100" s="190"/>
      <c r="L100" s="190"/>
      <c r="M100" s="190"/>
      <c r="N100" s="190"/>
      <c r="O100" s="190"/>
      <c r="P100" s="190"/>
      <c r="Q100" s="190"/>
      <c r="R100" s="190"/>
      <c r="S100" s="190"/>
      <c r="T100" s="190"/>
      <c r="U100" s="190"/>
      <c r="V100" s="190"/>
      <c r="W100" s="190"/>
      <c r="X100" s="190"/>
      <c r="Y100" s="190"/>
      <c r="Z100" s="190"/>
      <c r="AA100" s="190"/>
      <c r="AB100" s="190"/>
      <c r="AC100" s="190"/>
      <c r="AD100" s="190"/>
      <c r="AE100" s="190"/>
      <c r="AF100" s="190"/>
      <c r="AG100" s="190"/>
      <c r="AH100" s="190"/>
      <c r="AI100" s="190"/>
      <c r="AJ100" s="190"/>
      <c r="AK100" s="190"/>
      <c r="AL100" s="190"/>
      <c r="AM100" s="215"/>
      <c r="AN100" s="215"/>
      <c r="AO100" s="215"/>
      <c r="AP100" s="215"/>
      <c r="AQ100" s="195"/>
    </row>
    <row r="101" spans="1:43" x14ac:dyDescent="0.35">
      <c r="A101" s="190"/>
      <c r="B101" s="190"/>
      <c r="C101" s="190"/>
      <c r="D101" s="190"/>
      <c r="E101" s="190"/>
      <c r="F101" s="190"/>
      <c r="G101" s="190"/>
      <c r="H101" s="190"/>
      <c r="I101" s="190"/>
      <c r="J101" s="190"/>
      <c r="K101" s="190"/>
      <c r="L101" s="190"/>
      <c r="M101" s="190"/>
      <c r="N101" s="190"/>
      <c r="O101" s="190"/>
      <c r="P101" s="190"/>
      <c r="Q101" s="190"/>
      <c r="R101" s="190"/>
      <c r="S101" s="190"/>
      <c r="T101" s="190"/>
      <c r="U101" s="190"/>
      <c r="V101" s="190"/>
      <c r="W101" s="190"/>
      <c r="X101" s="190"/>
      <c r="Y101" s="190"/>
      <c r="Z101" s="190"/>
      <c r="AA101" s="190"/>
      <c r="AB101" s="190"/>
      <c r="AC101" s="190"/>
      <c r="AD101" s="190"/>
      <c r="AE101" s="190"/>
      <c r="AF101" s="190"/>
      <c r="AG101" s="190"/>
      <c r="AH101" s="190"/>
      <c r="AI101" s="190"/>
      <c r="AJ101" s="190"/>
      <c r="AK101" s="190"/>
      <c r="AL101" s="190"/>
      <c r="AM101" s="215"/>
      <c r="AN101" s="215"/>
      <c r="AO101" s="215"/>
      <c r="AP101" s="215"/>
      <c r="AQ101" s="195"/>
    </row>
    <row r="102" spans="1:43" x14ac:dyDescent="0.35">
      <c r="A102" s="190"/>
      <c r="B102" s="190"/>
      <c r="C102" s="190"/>
      <c r="D102" s="190"/>
      <c r="E102" s="190"/>
      <c r="F102" s="190"/>
      <c r="G102" s="190"/>
      <c r="H102" s="190"/>
      <c r="I102" s="190"/>
      <c r="J102" s="190"/>
      <c r="K102" s="190"/>
      <c r="L102" s="190"/>
      <c r="M102" s="190"/>
      <c r="N102" s="190"/>
      <c r="O102" s="190"/>
      <c r="P102" s="190"/>
      <c r="Q102" s="190"/>
      <c r="R102" s="190"/>
      <c r="S102" s="190"/>
      <c r="T102" s="190"/>
      <c r="U102" s="190"/>
      <c r="V102" s="190"/>
      <c r="W102" s="190"/>
      <c r="X102" s="190"/>
      <c r="Y102" s="190"/>
      <c r="Z102" s="190"/>
      <c r="AA102" s="190"/>
      <c r="AB102" s="190"/>
      <c r="AC102" s="190"/>
      <c r="AD102" s="190"/>
      <c r="AE102" s="190"/>
      <c r="AF102" s="190"/>
      <c r="AG102" s="190"/>
      <c r="AH102" s="190"/>
      <c r="AI102" s="190"/>
      <c r="AJ102" s="190"/>
      <c r="AK102" s="190"/>
      <c r="AL102" s="190"/>
      <c r="AM102" s="215"/>
      <c r="AN102" s="215"/>
      <c r="AO102" s="215"/>
      <c r="AP102" s="215"/>
      <c r="AQ102" s="195"/>
    </row>
    <row r="103" spans="1:43" x14ac:dyDescent="0.35">
      <c r="A103" s="190"/>
      <c r="B103" s="190"/>
      <c r="C103" s="190"/>
      <c r="D103" s="190"/>
      <c r="E103" s="190"/>
      <c r="F103" s="190"/>
      <c r="G103" s="190"/>
      <c r="H103" s="190"/>
      <c r="I103" s="190"/>
      <c r="J103" s="190"/>
      <c r="K103" s="190"/>
      <c r="L103" s="190"/>
      <c r="M103" s="190"/>
      <c r="N103" s="190"/>
      <c r="O103" s="190"/>
      <c r="P103" s="190"/>
      <c r="Q103" s="190"/>
      <c r="R103" s="190"/>
      <c r="S103" s="190"/>
      <c r="T103" s="190"/>
      <c r="U103" s="190"/>
      <c r="V103" s="190"/>
      <c r="W103" s="190"/>
      <c r="X103" s="190"/>
      <c r="Y103" s="190"/>
      <c r="Z103" s="190"/>
      <c r="AA103" s="190"/>
      <c r="AB103" s="190"/>
      <c r="AC103" s="190"/>
      <c r="AD103" s="190"/>
      <c r="AE103" s="190"/>
      <c r="AF103" s="190"/>
      <c r="AG103" s="190"/>
      <c r="AH103" s="190"/>
      <c r="AI103" s="190"/>
      <c r="AJ103" s="190"/>
      <c r="AK103" s="190"/>
      <c r="AL103" s="190"/>
      <c r="AM103" s="215"/>
      <c r="AN103" s="215"/>
      <c r="AO103" s="215"/>
      <c r="AP103" s="215"/>
      <c r="AQ103" s="195"/>
    </row>
    <row r="104" spans="1:43" x14ac:dyDescent="0.35">
      <c r="A104" s="190"/>
      <c r="B104" s="190"/>
      <c r="C104" s="190"/>
      <c r="D104" s="190"/>
      <c r="E104" s="190"/>
      <c r="F104" s="190"/>
      <c r="G104" s="190"/>
      <c r="H104" s="190"/>
      <c r="I104" s="190"/>
      <c r="J104" s="190"/>
      <c r="K104" s="190"/>
      <c r="L104" s="190"/>
      <c r="M104" s="190"/>
      <c r="N104" s="190"/>
      <c r="O104" s="190"/>
      <c r="P104" s="190"/>
      <c r="Q104" s="190"/>
      <c r="R104" s="190"/>
      <c r="S104" s="190"/>
      <c r="T104" s="190"/>
      <c r="U104" s="190"/>
      <c r="V104" s="190"/>
      <c r="W104" s="190"/>
      <c r="X104" s="190"/>
      <c r="Y104" s="190"/>
      <c r="Z104" s="190"/>
      <c r="AA104" s="190"/>
      <c r="AB104" s="190"/>
      <c r="AC104" s="190"/>
      <c r="AD104" s="190"/>
      <c r="AE104" s="190"/>
      <c r="AF104" s="190"/>
      <c r="AG104" s="190"/>
      <c r="AH104" s="190"/>
      <c r="AI104" s="190"/>
      <c r="AJ104" s="190"/>
      <c r="AK104" s="190"/>
      <c r="AL104" s="190"/>
      <c r="AM104" s="215"/>
      <c r="AN104" s="215"/>
      <c r="AO104" s="215"/>
      <c r="AP104" s="215"/>
      <c r="AQ104" s="195"/>
    </row>
    <row r="105" spans="1:43" x14ac:dyDescent="0.35">
      <c r="A105" s="190"/>
      <c r="B105" s="190"/>
      <c r="C105" s="190"/>
      <c r="D105" s="190"/>
      <c r="E105" s="190"/>
      <c r="F105" s="190"/>
      <c r="G105" s="190"/>
      <c r="H105" s="190"/>
      <c r="I105" s="190"/>
      <c r="J105" s="190"/>
      <c r="K105" s="190"/>
      <c r="L105" s="190"/>
      <c r="M105" s="190"/>
      <c r="N105" s="190"/>
      <c r="O105" s="190"/>
      <c r="P105" s="190"/>
      <c r="Q105" s="190"/>
      <c r="R105" s="190"/>
      <c r="S105" s="190"/>
      <c r="T105" s="190"/>
      <c r="U105" s="190"/>
      <c r="V105" s="190"/>
      <c r="W105" s="190"/>
      <c r="X105" s="190"/>
      <c r="Y105" s="190"/>
      <c r="Z105" s="190"/>
      <c r="AA105" s="190"/>
      <c r="AB105" s="190"/>
      <c r="AC105" s="190"/>
      <c r="AD105" s="190"/>
      <c r="AE105" s="190"/>
      <c r="AF105" s="190"/>
      <c r="AG105" s="190"/>
      <c r="AH105" s="190"/>
      <c r="AI105" s="190"/>
      <c r="AJ105" s="190"/>
      <c r="AK105" s="190"/>
      <c r="AL105" s="190"/>
      <c r="AM105" s="215"/>
      <c r="AN105" s="215"/>
      <c r="AO105" s="215"/>
      <c r="AP105" s="215"/>
      <c r="AQ105" s="195"/>
    </row>
    <row r="106" spans="1:43" x14ac:dyDescent="0.35">
      <c r="A106" s="190"/>
      <c r="B106" s="190"/>
      <c r="C106" s="190"/>
      <c r="D106" s="190"/>
      <c r="E106" s="190"/>
      <c r="F106" s="190"/>
      <c r="G106" s="190"/>
      <c r="H106" s="190"/>
      <c r="I106" s="190"/>
      <c r="J106" s="190"/>
      <c r="K106" s="190"/>
      <c r="L106" s="190"/>
      <c r="M106" s="190"/>
      <c r="N106" s="190"/>
      <c r="O106" s="190"/>
      <c r="P106" s="190"/>
      <c r="Q106" s="190"/>
      <c r="R106" s="190"/>
      <c r="S106" s="190"/>
      <c r="T106" s="190"/>
      <c r="U106" s="190"/>
      <c r="V106" s="190"/>
      <c r="W106" s="190"/>
      <c r="X106" s="190"/>
      <c r="Y106" s="190"/>
      <c r="Z106" s="190"/>
      <c r="AA106" s="190"/>
      <c r="AB106" s="190"/>
      <c r="AC106" s="190"/>
      <c r="AD106" s="190"/>
      <c r="AE106" s="190"/>
      <c r="AF106" s="190"/>
      <c r="AG106" s="190"/>
      <c r="AH106" s="190"/>
      <c r="AI106" s="190"/>
      <c r="AJ106" s="190"/>
      <c r="AK106" s="190"/>
      <c r="AL106" s="190"/>
      <c r="AM106" s="215"/>
      <c r="AN106" s="215"/>
      <c r="AO106" s="215"/>
      <c r="AP106" s="215"/>
      <c r="AQ106" s="195"/>
    </row>
    <row r="107" spans="1:43" x14ac:dyDescent="0.35">
      <c r="A107" s="190"/>
      <c r="B107" s="190"/>
      <c r="C107" s="190"/>
      <c r="D107" s="190"/>
      <c r="E107" s="190"/>
      <c r="F107" s="190"/>
      <c r="G107" s="190"/>
      <c r="H107" s="190"/>
      <c r="I107" s="190"/>
      <c r="J107" s="190"/>
      <c r="K107" s="190"/>
      <c r="L107" s="190"/>
      <c r="M107" s="190"/>
      <c r="N107" s="190"/>
      <c r="O107" s="190"/>
      <c r="P107" s="190"/>
      <c r="Q107" s="190"/>
      <c r="R107" s="190"/>
      <c r="S107" s="190"/>
      <c r="T107" s="190"/>
      <c r="U107" s="190"/>
      <c r="V107" s="190"/>
      <c r="W107" s="190"/>
      <c r="X107" s="190"/>
      <c r="Y107" s="190"/>
      <c r="Z107" s="190"/>
      <c r="AA107" s="190"/>
      <c r="AB107" s="190"/>
      <c r="AC107" s="190"/>
      <c r="AD107" s="190"/>
      <c r="AE107" s="190"/>
      <c r="AF107" s="190"/>
      <c r="AG107" s="190"/>
      <c r="AH107" s="190"/>
      <c r="AI107" s="190"/>
      <c r="AJ107" s="190"/>
      <c r="AK107" s="190"/>
      <c r="AL107" s="190"/>
      <c r="AM107" s="215"/>
      <c r="AN107" s="215"/>
      <c r="AO107" s="215"/>
      <c r="AP107" s="215"/>
      <c r="AQ107" s="195"/>
    </row>
    <row r="108" spans="1:43" x14ac:dyDescent="0.35">
      <c r="A108" s="190"/>
      <c r="B108" s="190"/>
      <c r="C108" s="190"/>
      <c r="D108" s="190"/>
      <c r="E108" s="190"/>
      <c r="F108" s="190"/>
      <c r="G108" s="190"/>
      <c r="H108" s="190"/>
      <c r="I108" s="190"/>
      <c r="J108" s="190"/>
      <c r="K108" s="190"/>
      <c r="L108" s="190"/>
      <c r="M108" s="190"/>
      <c r="N108" s="190"/>
      <c r="O108" s="190"/>
      <c r="P108" s="190"/>
      <c r="Q108" s="190"/>
      <c r="R108" s="190"/>
      <c r="S108" s="190"/>
      <c r="T108" s="190"/>
      <c r="U108" s="190"/>
      <c r="V108" s="190"/>
      <c r="W108" s="190"/>
      <c r="X108" s="190"/>
      <c r="Y108" s="190"/>
      <c r="Z108" s="190"/>
      <c r="AA108" s="190"/>
      <c r="AB108" s="190"/>
      <c r="AC108" s="190"/>
      <c r="AD108" s="190"/>
      <c r="AE108" s="190"/>
      <c r="AF108" s="190"/>
      <c r="AG108" s="190"/>
      <c r="AH108" s="190"/>
      <c r="AI108" s="190"/>
      <c r="AJ108" s="190"/>
      <c r="AK108" s="190"/>
      <c r="AL108" s="190"/>
      <c r="AM108" s="215"/>
      <c r="AN108" s="215"/>
      <c r="AO108" s="215"/>
      <c r="AP108" s="215"/>
      <c r="AQ108" s="195"/>
    </row>
    <row r="109" spans="1:43" x14ac:dyDescent="0.35">
      <c r="A109" s="190"/>
      <c r="B109" s="190"/>
      <c r="C109" s="190"/>
      <c r="D109" s="190"/>
      <c r="E109" s="190"/>
      <c r="F109" s="190"/>
      <c r="G109" s="190"/>
      <c r="H109" s="190"/>
      <c r="I109" s="190"/>
      <c r="J109" s="190"/>
      <c r="K109" s="190"/>
      <c r="L109" s="190"/>
      <c r="M109" s="190"/>
      <c r="N109" s="190"/>
      <c r="O109" s="190"/>
      <c r="P109" s="190"/>
      <c r="Q109" s="190"/>
      <c r="R109" s="190"/>
      <c r="S109" s="190"/>
      <c r="T109" s="190"/>
      <c r="U109" s="190"/>
      <c r="V109" s="190"/>
      <c r="W109" s="190"/>
      <c r="X109" s="190"/>
      <c r="Y109" s="190"/>
      <c r="Z109" s="190"/>
      <c r="AA109" s="190"/>
      <c r="AB109" s="190"/>
      <c r="AC109" s="190"/>
      <c r="AD109" s="190"/>
      <c r="AE109" s="190"/>
      <c r="AF109" s="190"/>
      <c r="AG109" s="190"/>
      <c r="AH109" s="190"/>
      <c r="AI109" s="190"/>
      <c r="AJ109" s="190"/>
      <c r="AK109" s="190"/>
      <c r="AL109" s="190"/>
      <c r="AM109" s="215"/>
      <c r="AN109" s="215"/>
      <c r="AO109" s="215"/>
      <c r="AP109" s="215"/>
      <c r="AQ109" s="195"/>
    </row>
    <row r="110" spans="1:43" x14ac:dyDescent="0.35">
      <c r="A110" s="190"/>
      <c r="B110" s="190"/>
      <c r="C110" s="190"/>
      <c r="D110" s="190"/>
      <c r="E110" s="190"/>
      <c r="F110" s="190"/>
      <c r="G110" s="190"/>
      <c r="H110" s="190"/>
      <c r="I110" s="190"/>
      <c r="J110" s="190"/>
      <c r="K110" s="190"/>
      <c r="L110" s="190"/>
      <c r="M110" s="190"/>
      <c r="N110" s="190"/>
      <c r="O110" s="190"/>
      <c r="P110" s="190"/>
      <c r="Q110" s="190"/>
      <c r="R110" s="190"/>
      <c r="S110" s="190"/>
      <c r="T110" s="190"/>
      <c r="U110" s="190"/>
      <c r="V110" s="190"/>
      <c r="W110" s="190"/>
      <c r="X110" s="190"/>
      <c r="Y110" s="190"/>
      <c r="Z110" s="190"/>
      <c r="AA110" s="190"/>
      <c r="AB110" s="190"/>
      <c r="AC110" s="190"/>
      <c r="AD110" s="190"/>
      <c r="AE110" s="190"/>
      <c r="AF110" s="190"/>
      <c r="AG110" s="190"/>
      <c r="AH110" s="190"/>
      <c r="AI110" s="190"/>
      <c r="AJ110" s="190"/>
      <c r="AK110" s="190"/>
      <c r="AL110" s="190"/>
      <c r="AM110" s="215"/>
      <c r="AN110" s="215"/>
      <c r="AO110" s="215"/>
      <c r="AP110" s="215"/>
      <c r="AQ110" s="195"/>
    </row>
    <row r="111" spans="1:43" x14ac:dyDescent="0.35">
      <c r="A111" s="190"/>
      <c r="B111" s="190"/>
      <c r="C111" s="190"/>
      <c r="D111" s="190"/>
      <c r="E111" s="190"/>
      <c r="F111" s="190"/>
      <c r="G111" s="190"/>
      <c r="H111" s="190"/>
      <c r="I111" s="190"/>
      <c r="J111" s="190"/>
      <c r="K111" s="190"/>
      <c r="L111" s="190"/>
      <c r="M111" s="190"/>
      <c r="N111" s="190"/>
      <c r="O111" s="190"/>
      <c r="P111" s="190"/>
      <c r="Q111" s="190"/>
      <c r="R111" s="190"/>
      <c r="S111" s="190"/>
      <c r="T111" s="190"/>
      <c r="U111" s="190"/>
      <c r="V111" s="190"/>
      <c r="W111" s="190"/>
      <c r="X111" s="190"/>
      <c r="Y111" s="190"/>
      <c r="Z111" s="190"/>
      <c r="AA111" s="190"/>
      <c r="AB111" s="190"/>
      <c r="AC111" s="190"/>
      <c r="AD111" s="190"/>
      <c r="AE111" s="190"/>
      <c r="AF111" s="190"/>
      <c r="AG111" s="190"/>
      <c r="AH111" s="190"/>
      <c r="AI111" s="190"/>
      <c r="AJ111" s="190"/>
      <c r="AK111" s="190"/>
      <c r="AL111" s="190"/>
      <c r="AM111" s="215"/>
      <c r="AN111" s="215"/>
      <c r="AO111" s="215"/>
      <c r="AP111" s="215"/>
      <c r="AQ111" s="195"/>
    </row>
    <row r="112" spans="1:43" x14ac:dyDescent="0.35">
      <c r="A112" s="190"/>
      <c r="B112" s="190"/>
      <c r="C112" s="190"/>
      <c r="D112" s="190"/>
      <c r="E112" s="190"/>
      <c r="F112" s="190"/>
      <c r="G112" s="190"/>
      <c r="H112" s="190"/>
      <c r="I112" s="190"/>
      <c r="J112" s="190"/>
      <c r="K112" s="190"/>
      <c r="L112" s="190"/>
      <c r="M112" s="190"/>
      <c r="N112" s="190"/>
      <c r="O112" s="190"/>
      <c r="P112" s="190"/>
      <c r="Q112" s="190"/>
      <c r="R112" s="190"/>
      <c r="S112" s="190"/>
      <c r="T112" s="190"/>
      <c r="U112" s="190"/>
      <c r="V112" s="190"/>
      <c r="W112" s="190"/>
      <c r="X112" s="190"/>
      <c r="Y112" s="190"/>
      <c r="Z112" s="190"/>
      <c r="AA112" s="190"/>
      <c r="AB112" s="190"/>
      <c r="AC112" s="190"/>
      <c r="AD112" s="190"/>
      <c r="AE112" s="190"/>
      <c r="AF112" s="190"/>
      <c r="AG112" s="190"/>
      <c r="AH112" s="190"/>
      <c r="AI112" s="190"/>
      <c r="AJ112" s="190"/>
      <c r="AK112" s="190"/>
      <c r="AL112" s="190"/>
      <c r="AM112" s="215"/>
      <c r="AN112" s="215"/>
      <c r="AO112" s="215"/>
      <c r="AP112" s="215"/>
      <c r="AQ112" s="195"/>
    </row>
    <row r="113" spans="1:43" x14ac:dyDescent="0.35">
      <c r="A113" s="190"/>
      <c r="B113" s="190"/>
      <c r="C113" s="190"/>
      <c r="D113" s="190"/>
      <c r="E113" s="190"/>
      <c r="F113" s="190"/>
      <c r="G113" s="190"/>
      <c r="H113" s="190"/>
      <c r="I113" s="190"/>
      <c r="J113" s="190"/>
      <c r="K113" s="190"/>
      <c r="L113" s="190"/>
      <c r="M113" s="190"/>
      <c r="N113" s="190"/>
      <c r="O113" s="190"/>
      <c r="P113" s="190"/>
      <c r="Q113" s="190"/>
      <c r="R113" s="190"/>
      <c r="S113" s="190"/>
      <c r="T113" s="190"/>
      <c r="U113" s="190"/>
      <c r="V113" s="190"/>
      <c r="W113" s="190"/>
      <c r="X113" s="190"/>
      <c r="Y113" s="190"/>
      <c r="Z113" s="190"/>
      <c r="AA113" s="190"/>
      <c r="AB113" s="190"/>
      <c r="AC113" s="190"/>
      <c r="AD113" s="190"/>
      <c r="AE113" s="190"/>
      <c r="AF113" s="190"/>
      <c r="AG113" s="190"/>
      <c r="AH113" s="190"/>
      <c r="AI113" s="190"/>
      <c r="AJ113" s="190"/>
      <c r="AK113" s="190"/>
      <c r="AL113" s="190"/>
      <c r="AM113" s="215"/>
      <c r="AN113" s="215"/>
      <c r="AO113" s="215"/>
      <c r="AP113" s="215"/>
      <c r="AQ113" s="195"/>
    </row>
    <row r="114" spans="1:43" x14ac:dyDescent="0.35">
      <c r="A114" s="190"/>
      <c r="B114" s="190"/>
      <c r="C114" s="190"/>
      <c r="D114" s="190"/>
      <c r="E114" s="190"/>
      <c r="F114" s="190"/>
      <c r="G114" s="190"/>
      <c r="H114" s="190"/>
      <c r="I114" s="190"/>
      <c r="J114" s="190"/>
      <c r="K114" s="190"/>
      <c r="L114" s="190"/>
      <c r="M114" s="190"/>
      <c r="N114" s="190"/>
      <c r="O114" s="190"/>
      <c r="P114" s="190"/>
      <c r="Q114" s="190"/>
      <c r="R114" s="190"/>
      <c r="S114" s="190"/>
      <c r="T114" s="190"/>
      <c r="U114" s="190"/>
      <c r="V114" s="190"/>
      <c r="W114" s="190"/>
      <c r="X114" s="190"/>
      <c r="Y114" s="190"/>
      <c r="Z114" s="190"/>
      <c r="AA114" s="190"/>
      <c r="AB114" s="190"/>
      <c r="AC114" s="190"/>
      <c r="AD114" s="190"/>
      <c r="AE114" s="190"/>
      <c r="AF114" s="190"/>
      <c r="AG114" s="190"/>
      <c r="AH114" s="190"/>
      <c r="AI114" s="190"/>
      <c r="AJ114" s="190"/>
      <c r="AK114" s="190"/>
      <c r="AL114" s="190"/>
      <c r="AM114" s="215"/>
      <c r="AN114" s="215"/>
      <c r="AO114" s="215"/>
      <c r="AP114" s="215"/>
      <c r="AQ114" s="195"/>
    </row>
    <row r="115" spans="1:43" x14ac:dyDescent="0.35">
      <c r="A115" s="190"/>
      <c r="B115" s="190"/>
      <c r="C115" s="190"/>
      <c r="D115" s="190"/>
      <c r="E115" s="190"/>
      <c r="F115" s="190"/>
      <c r="G115" s="190"/>
      <c r="H115" s="190"/>
      <c r="I115" s="190"/>
      <c r="J115" s="190"/>
      <c r="K115" s="190"/>
      <c r="L115" s="190"/>
      <c r="M115" s="190"/>
      <c r="N115" s="190"/>
      <c r="O115" s="190"/>
      <c r="P115" s="190"/>
      <c r="Q115" s="190"/>
      <c r="R115" s="190"/>
      <c r="S115" s="190"/>
      <c r="T115" s="190"/>
      <c r="U115" s="190"/>
      <c r="V115" s="190"/>
      <c r="W115" s="190"/>
      <c r="X115" s="190"/>
      <c r="Y115" s="190"/>
      <c r="Z115" s="190"/>
      <c r="AA115" s="190"/>
      <c r="AB115" s="190"/>
      <c r="AC115" s="190"/>
      <c r="AD115" s="190"/>
      <c r="AE115" s="190"/>
      <c r="AF115" s="190"/>
      <c r="AG115" s="190"/>
      <c r="AH115" s="190"/>
      <c r="AI115" s="190"/>
      <c r="AJ115" s="190"/>
      <c r="AK115" s="190"/>
      <c r="AL115" s="190"/>
      <c r="AM115" s="215"/>
      <c r="AN115" s="215"/>
      <c r="AO115" s="215"/>
      <c r="AP115" s="215"/>
      <c r="AQ115" s="195"/>
    </row>
    <row r="116" spans="1:43" x14ac:dyDescent="0.35">
      <c r="A116" s="190"/>
      <c r="B116" s="190"/>
      <c r="C116" s="190"/>
      <c r="D116" s="190"/>
      <c r="E116" s="190"/>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190"/>
      <c r="AD116" s="190"/>
      <c r="AE116" s="190"/>
      <c r="AF116" s="190"/>
      <c r="AG116" s="190"/>
      <c r="AH116" s="190"/>
      <c r="AI116" s="190"/>
      <c r="AJ116" s="190"/>
      <c r="AK116" s="190"/>
      <c r="AL116" s="190"/>
      <c r="AM116" s="215"/>
      <c r="AN116" s="215"/>
      <c r="AO116" s="215"/>
      <c r="AP116" s="215"/>
      <c r="AQ116" s="195"/>
    </row>
    <row r="117" spans="1:43" x14ac:dyDescent="0.35">
      <c r="A117" s="190"/>
      <c r="B117" s="190"/>
      <c r="C117" s="190"/>
      <c r="D117" s="190"/>
      <c r="E117" s="190"/>
      <c r="F117" s="190"/>
      <c r="G117" s="190"/>
      <c r="H117" s="190"/>
      <c r="I117" s="190"/>
      <c r="J117" s="190"/>
      <c r="K117" s="190"/>
      <c r="L117" s="190"/>
      <c r="M117" s="190"/>
      <c r="N117" s="190"/>
      <c r="O117" s="190"/>
      <c r="P117" s="190"/>
      <c r="Q117" s="190"/>
      <c r="R117" s="190"/>
      <c r="S117" s="190"/>
      <c r="T117" s="190"/>
      <c r="U117" s="190"/>
      <c r="V117" s="190"/>
      <c r="W117" s="190"/>
      <c r="X117" s="190"/>
      <c r="Y117" s="190"/>
      <c r="Z117" s="190"/>
      <c r="AA117" s="190"/>
      <c r="AB117" s="190"/>
      <c r="AC117" s="190"/>
      <c r="AD117" s="190"/>
      <c r="AE117" s="190"/>
      <c r="AF117" s="190"/>
      <c r="AG117" s="190"/>
      <c r="AH117" s="190"/>
      <c r="AI117" s="190"/>
      <c r="AJ117" s="190"/>
      <c r="AK117" s="190"/>
      <c r="AL117" s="190"/>
      <c r="AM117" s="215"/>
      <c r="AN117" s="215"/>
      <c r="AO117" s="215"/>
      <c r="AP117" s="215"/>
      <c r="AQ117" s="195"/>
    </row>
    <row r="118" spans="1:43" x14ac:dyDescent="0.35">
      <c r="A118" s="190"/>
      <c r="B118" s="190"/>
      <c r="C118" s="190"/>
      <c r="D118" s="190"/>
      <c r="E118" s="190"/>
      <c r="F118" s="190"/>
      <c r="G118" s="190"/>
      <c r="H118" s="190"/>
      <c r="I118" s="190"/>
      <c r="J118" s="190"/>
      <c r="K118" s="190"/>
      <c r="L118" s="190"/>
      <c r="M118" s="190"/>
      <c r="N118" s="190"/>
      <c r="O118" s="190"/>
      <c r="P118" s="190"/>
      <c r="Q118" s="190"/>
      <c r="R118" s="190"/>
      <c r="S118" s="190"/>
      <c r="T118" s="190"/>
      <c r="U118" s="190"/>
      <c r="V118" s="190"/>
      <c r="W118" s="190"/>
      <c r="X118" s="190"/>
      <c r="Y118" s="190"/>
      <c r="Z118" s="190"/>
      <c r="AA118" s="190"/>
      <c r="AB118" s="190"/>
      <c r="AC118" s="190"/>
      <c r="AD118" s="190"/>
      <c r="AE118" s="190"/>
      <c r="AF118" s="190"/>
      <c r="AG118" s="190"/>
      <c r="AH118" s="190"/>
      <c r="AI118" s="190"/>
      <c r="AJ118" s="190"/>
      <c r="AK118" s="190"/>
      <c r="AL118" s="190"/>
      <c r="AM118" s="215"/>
      <c r="AN118" s="215"/>
      <c r="AO118" s="215"/>
      <c r="AP118" s="215"/>
      <c r="AQ118" s="195"/>
    </row>
    <row r="119" spans="1:43" x14ac:dyDescent="0.35">
      <c r="A119" s="190"/>
      <c r="B119" s="190"/>
      <c r="C119" s="190"/>
      <c r="D119" s="190"/>
      <c r="E119" s="190"/>
      <c r="F119" s="190"/>
      <c r="G119" s="190"/>
      <c r="H119" s="190"/>
      <c r="I119" s="190"/>
      <c r="J119" s="190"/>
      <c r="K119" s="190"/>
      <c r="L119" s="190"/>
      <c r="M119" s="190"/>
      <c r="N119" s="190"/>
      <c r="O119" s="190"/>
      <c r="P119" s="190"/>
      <c r="Q119" s="190"/>
      <c r="R119" s="190"/>
      <c r="S119" s="190"/>
      <c r="T119" s="190"/>
      <c r="U119" s="190"/>
      <c r="V119" s="190"/>
      <c r="W119" s="190"/>
      <c r="X119" s="190"/>
      <c r="Y119" s="190"/>
      <c r="Z119" s="190"/>
      <c r="AA119" s="190"/>
      <c r="AB119" s="190"/>
      <c r="AC119" s="190"/>
      <c r="AD119" s="190"/>
      <c r="AE119" s="190"/>
      <c r="AF119" s="190"/>
      <c r="AG119" s="190"/>
      <c r="AH119" s="190"/>
      <c r="AI119" s="190"/>
      <c r="AJ119" s="190"/>
      <c r="AK119" s="190"/>
      <c r="AL119" s="190"/>
      <c r="AM119" s="215"/>
      <c r="AN119" s="215"/>
      <c r="AO119" s="215"/>
      <c r="AP119" s="215"/>
      <c r="AQ119" s="195"/>
    </row>
    <row r="120" spans="1:43" x14ac:dyDescent="0.35">
      <c r="A120" s="190"/>
      <c r="B120" s="190"/>
      <c r="C120" s="190"/>
      <c r="D120" s="190"/>
      <c r="E120" s="190"/>
      <c r="F120" s="190"/>
      <c r="G120" s="190"/>
      <c r="H120" s="190"/>
      <c r="I120" s="190"/>
      <c r="J120" s="190"/>
      <c r="K120" s="190"/>
      <c r="L120" s="190"/>
      <c r="M120" s="190"/>
      <c r="N120" s="190"/>
      <c r="O120" s="190"/>
      <c r="P120" s="190"/>
      <c r="Q120" s="190"/>
      <c r="R120" s="190"/>
      <c r="S120" s="190"/>
      <c r="T120" s="190"/>
      <c r="U120" s="190"/>
      <c r="V120" s="190"/>
      <c r="W120" s="190"/>
      <c r="X120" s="190"/>
      <c r="Y120" s="190"/>
      <c r="Z120" s="190"/>
      <c r="AA120" s="190"/>
      <c r="AB120" s="190"/>
      <c r="AC120" s="190"/>
      <c r="AD120" s="190"/>
      <c r="AE120" s="190"/>
      <c r="AF120" s="190"/>
      <c r="AG120" s="190"/>
      <c r="AH120" s="190"/>
      <c r="AI120" s="190"/>
      <c r="AJ120" s="190"/>
      <c r="AK120" s="190"/>
      <c r="AL120" s="190"/>
      <c r="AM120" s="215"/>
      <c r="AN120" s="215"/>
      <c r="AO120" s="215"/>
      <c r="AP120" s="215"/>
      <c r="AQ120" s="195"/>
    </row>
    <row r="121" spans="1:43" x14ac:dyDescent="0.35">
      <c r="A121" s="190"/>
      <c r="B121" s="190"/>
      <c r="C121" s="190"/>
      <c r="D121" s="190"/>
      <c r="E121" s="190"/>
      <c r="F121" s="190"/>
      <c r="G121" s="190"/>
      <c r="H121" s="190"/>
      <c r="I121" s="190"/>
      <c r="J121" s="190"/>
      <c r="K121" s="190"/>
      <c r="L121" s="190"/>
      <c r="M121" s="190"/>
      <c r="N121" s="190"/>
      <c r="O121" s="190"/>
      <c r="P121" s="190"/>
      <c r="Q121" s="190"/>
      <c r="R121" s="190"/>
      <c r="S121" s="190"/>
      <c r="T121" s="190"/>
      <c r="U121" s="190"/>
      <c r="V121" s="190"/>
      <c r="W121" s="190"/>
      <c r="X121" s="190"/>
      <c r="Y121" s="190"/>
      <c r="Z121" s="190"/>
      <c r="AA121" s="190"/>
      <c r="AB121" s="190"/>
      <c r="AC121" s="190"/>
      <c r="AD121" s="190"/>
      <c r="AE121" s="190"/>
      <c r="AF121" s="190"/>
      <c r="AG121" s="190"/>
      <c r="AH121" s="190"/>
      <c r="AI121" s="190"/>
      <c r="AJ121" s="190"/>
      <c r="AK121" s="190"/>
      <c r="AL121" s="190"/>
      <c r="AM121" s="215"/>
      <c r="AN121" s="215"/>
      <c r="AO121" s="215"/>
      <c r="AP121" s="215"/>
      <c r="AQ121" s="195"/>
    </row>
    <row r="122" spans="1:43" x14ac:dyDescent="0.35">
      <c r="Z122" s="195"/>
      <c r="AA122" s="215"/>
      <c r="AB122" s="215"/>
      <c r="AC122" s="215"/>
      <c r="AD122" s="215"/>
      <c r="AE122" s="215"/>
      <c r="AF122" s="215"/>
      <c r="AG122" s="215"/>
      <c r="AH122" s="215"/>
      <c r="AI122" s="215"/>
      <c r="AJ122" s="215"/>
      <c r="AK122" s="215"/>
      <c r="AL122" s="215"/>
      <c r="AM122" s="215"/>
      <c r="AN122" s="215"/>
      <c r="AO122" s="215"/>
      <c r="AP122" s="215"/>
      <c r="AQ122" s="195"/>
    </row>
    <row r="123" spans="1:43" x14ac:dyDescent="0.35">
      <c r="Z123" s="195"/>
      <c r="AA123" s="215"/>
      <c r="AB123" s="215"/>
      <c r="AC123" s="215"/>
      <c r="AD123" s="215"/>
      <c r="AE123" s="215"/>
      <c r="AF123" s="215"/>
      <c r="AG123" s="215"/>
      <c r="AH123" s="215"/>
      <c r="AI123" s="215"/>
      <c r="AJ123" s="215"/>
      <c r="AK123" s="215"/>
      <c r="AL123" s="215"/>
      <c r="AM123" s="215"/>
      <c r="AN123" s="215"/>
      <c r="AO123" s="215"/>
      <c r="AP123" s="215"/>
      <c r="AQ123" s="195"/>
    </row>
    <row r="124" spans="1:43" x14ac:dyDescent="0.35">
      <c r="Z124" s="195"/>
      <c r="AA124" s="215"/>
      <c r="AB124" s="215"/>
      <c r="AC124" s="215"/>
      <c r="AD124" s="215"/>
      <c r="AE124" s="215"/>
      <c r="AF124" s="215"/>
      <c r="AG124" s="215"/>
      <c r="AH124" s="215"/>
      <c r="AI124" s="215"/>
      <c r="AJ124" s="215"/>
      <c r="AK124" s="215"/>
      <c r="AL124" s="215"/>
      <c r="AM124" s="215"/>
      <c r="AN124" s="215"/>
      <c r="AO124" s="215"/>
      <c r="AP124" s="215"/>
      <c r="AQ124" s="195"/>
    </row>
    <row r="125" spans="1:43" x14ac:dyDescent="0.35">
      <c r="Z125" s="195"/>
      <c r="AA125" s="215"/>
      <c r="AB125" s="215"/>
      <c r="AC125" s="215"/>
      <c r="AD125" s="215"/>
      <c r="AE125" s="215"/>
      <c r="AF125" s="215"/>
      <c r="AG125" s="215"/>
      <c r="AH125" s="215"/>
      <c r="AI125" s="215"/>
      <c r="AJ125" s="215"/>
      <c r="AK125" s="215"/>
      <c r="AL125" s="215"/>
      <c r="AM125" s="215"/>
      <c r="AN125" s="215"/>
      <c r="AO125" s="215"/>
      <c r="AP125" s="215"/>
      <c r="AQ125" s="195"/>
    </row>
    <row r="126" spans="1:43" x14ac:dyDescent="0.35">
      <c r="Z126" s="195"/>
      <c r="AA126" s="215"/>
      <c r="AB126" s="215"/>
      <c r="AC126" s="215"/>
      <c r="AD126" s="215"/>
      <c r="AE126" s="215"/>
      <c r="AF126" s="215"/>
      <c r="AG126" s="215"/>
      <c r="AH126" s="215"/>
      <c r="AI126" s="215"/>
      <c r="AJ126" s="215"/>
      <c r="AK126" s="215"/>
      <c r="AL126" s="215"/>
      <c r="AM126" s="215"/>
      <c r="AN126" s="215"/>
      <c r="AO126" s="215"/>
      <c r="AP126" s="215"/>
      <c r="AQ126" s="195"/>
    </row>
    <row r="127" spans="1:43" x14ac:dyDescent="0.35">
      <c r="Z127" s="195"/>
      <c r="AA127" s="215"/>
      <c r="AB127" s="215"/>
      <c r="AC127" s="215"/>
      <c r="AD127" s="215"/>
      <c r="AE127" s="215"/>
      <c r="AF127" s="215"/>
      <c r="AG127" s="215"/>
      <c r="AH127" s="215"/>
      <c r="AI127" s="215"/>
      <c r="AJ127" s="215"/>
      <c r="AK127" s="215"/>
      <c r="AL127" s="215"/>
      <c r="AM127" s="215"/>
      <c r="AN127" s="215"/>
      <c r="AO127" s="215"/>
      <c r="AP127" s="215"/>
      <c r="AQ127" s="195"/>
    </row>
    <row r="128" spans="1:43" x14ac:dyDescent="0.35">
      <c r="Z128" s="195"/>
      <c r="AA128" s="215"/>
      <c r="AB128" s="215"/>
      <c r="AC128" s="215"/>
      <c r="AD128" s="215"/>
      <c r="AE128" s="215"/>
      <c r="AF128" s="215"/>
      <c r="AG128" s="215"/>
      <c r="AH128" s="215"/>
      <c r="AI128" s="215"/>
      <c r="AJ128" s="215"/>
      <c r="AK128" s="215"/>
      <c r="AL128" s="215"/>
      <c r="AM128" s="215"/>
      <c r="AN128" s="215"/>
      <c r="AO128" s="215"/>
      <c r="AP128" s="215"/>
      <c r="AQ128" s="195"/>
    </row>
    <row r="129" spans="26:43" x14ac:dyDescent="0.35">
      <c r="Z129" s="195"/>
      <c r="AA129" s="215"/>
      <c r="AB129" s="215"/>
      <c r="AC129" s="215"/>
      <c r="AD129" s="215"/>
      <c r="AE129" s="215"/>
      <c r="AF129" s="215"/>
      <c r="AG129" s="215"/>
      <c r="AH129" s="215"/>
      <c r="AI129" s="215"/>
      <c r="AJ129" s="215"/>
      <c r="AK129" s="215"/>
      <c r="AL129" s="215"/>
      <c r="AM129" s="215"/>
      <c r="AN129" s="215"/>
      <c r="AO129" s="215"/>
      <c r="AP129" s="215"/>
      <c r="AQ129" s="195"/>
    </row>
    <row r="130" spans="26:43" x14ac:dyDescent="0.35">
      <c r="Z130" s="195"/>
      <c r="AA130" s="215"/>
      <c r="AB130" s="215"/>
      <c r="AC130" s="215"/>
      <c r="AD130" s="215"/>
      <c r="AE130" s="215"/>
      <c r="AF130" s="215"/>
      <c r="AG130" s="215"/>
      <c r="AH130" s="215"/>
      <c r="AI130" s="215"/>
      <c r="AJ130" s="215"/>
      <c r="AK130" s="215"/>
      <c r="AL130" s="215"/>
      <c r="AM130" s="215"/>
      <c r="AN130" s="215"/>
      <c r="AO130" s="215"/>
      <c r="AP130" s="215"/>
      <c r="AQ130" s="195"/>
    </row>
    <row r="131" spans="26:43" x14ac:dyDescent="0.35">
      <c r="Z131" s="195"/>
      <c r="AA131" s="215"/>
      <c r="AB131" s="215"/>
      <c r="AC131" s="215"/>
      <c r="AD131" s="215"/>
      <c r="AE131" s="215"/>
      <c r="AF131" s="215"/>
      <c r="AG131" s="215"/>
      <c r="AH131" s="215"/>
      <c r="AI131" s="215"/>
      <c r="AJ131" s="215"/>
      <c r="AK131" s="215"/>
      <c r="AL131" s="215"/>
      <c r="AM131" s="215"/>
      <c r="AN131" s="215"/>
      <c r="AO131" s="215"/>
      <c r="AP131" s="215"/>
      <c r="AQ131" s="195"/>
    </row>
    <row r="132" spans="26:43" x14ac:dyDescent="0.35">
      <c r="Z132" s="195"/>
      <c r="AA132" s="215"/>
      <c r="AB132" s="215"/>
      <c r="AC132" s="215"/>
      <c r="AD132" s="215"/>
      <c r="AE132" s="215"/>
      <c r="AF132" s="215"/>
      <c r="AG132" s="215"/>
      <c r="AH132" s="215"/>
      <c r="AI132" s="195"/>
      <c r="AJ132" s="195"/>
      <c r="AK132" s="195"/>
      <c r="AL132" s="195"/>
      <c r="AM132" s="195"/>
      <c r="AN132" s="195"/>
      <c r="AO132" s="195"/>
      <c r="AP132" s="195"/>
      <c r="AQ132" s="195"/>
    </row>
    <row r="133" spans="26:43" x14ac:dyDescent="0.35">
      <c r="Z133" s="195"/>
      <c r="AA133" s="215"/>
      <c r="AB133" s="215"/>
      <c r="AC133" s="215"/>
      <c r="AD133" s="215"/>
      <c r="AE133" s="215"/>
      <c r="AF133" s="215"/>
      <c r="AG133" s="215"/>
      <c r="AH133" s="215"/>
      <c r="AI133" s="195"/>
      <c r="AJ133" s="195"/>
      <c r="AK133" s="195"/>
      <c r="AL133" s="195"/>
      <c r="AM133" s="195"/>
      <c r="AN133" s="195"/>
      <c r="AO133" s="195"/>
      <c r="AP133" s="195"/>
      <c r="AQ133" s="195"/>
    </row>
    <row r="134" spans="26:43" x14ac:dyDescent="0.35">
      <c r="Z134" s="195"/>
      <c r="AA134" s="215"/>
      <c r="AB134" s="215"/>
      <c r="AC134" s="215"/>
      <c r="AD134" s="215"/>
      <c r="AE134" s="215"/>
      <c r="AF134" s="215"/>
      <c r="AG134" s="215"/>
      <c r="AH134" s="215"/>
      <c r="AI134" s="195"/>
      <c r="AJ134" s="195"/>
      <c r="AK134" s="195"/>
      <c r="AL134" s="195"/>
      <c r="AM134" s="195"/>
      <c r="AN134" s="195"/>
      <c r="AO134" s="195"/>
      <c r="AP134" s="195"/>
      <c r="AQ134" s="195"/>
    </row>
    <row r="135" spans="26:43" x14ac:dyDescent="0.35">
      <c r="Z135" s="195"/>
      <c r="AA135" s="215"/>
      <c r="AB135" s="215"/>
      <c r="AC135" s="215"/>
      <c r="AD135" s="215"/>
      <c r="AE135" s="215"/>
      <c r="AF135" s="215"/>
      <c r="AG135" s="215"/>
      <c r="AH135" s="215"/>
      <c r="AI135" s="195"/>
      <c r="AJ135" s="195"/>
      <c r="AK135" s="195"/>
      <c r="AL135" s="195"/>
      <c r="AM135" s="195"/>
      <c r="AN135" s="195"/>
      <c r="AO135" s="195"/>
      <c r="AP135" s="195"/>
      <c r="AQ135" s="195"/>
    </row>
    <row r="136" spans="26:43" x14ac:dyDescent="0.35">
      <c r="Z136" s="195"/>
      <c r="AA136" s="215"/>
      <c r="AB136" s="215"/>
      <c r="AC136" s="215"/>
      <c r="AD136" s="215"/>
      <c r="AE136" s="215"/>
      <c r="AF136" s="215"/>
      <c r="AG136" s="215"/>
      <c r="AH136" s="215"/>
      <c r="AI136" s="195"/>
      <c r="AJ136" s="195"/>
      <c r="AK136" s="195"/>
      <c r="AL136" s="195"/>
      <c r="AM136" s="195"/>
      <c r="AN136" s="195"/>
      <c r="AO136" s="195"/>
      <c r="AP136" s="195"/>
      <c r="AQ136" s="195"/>
    </row>
    <row r="137" spans="26:43" x14ac:dyDescent="0.35">
      <c r="Z137" s="195"/>
      <c r="AA137" s="215"/>
      <c r="AB137" s="215"/>
      <c r="AC137" s="215"/>
      <c r="AD137" s="215"/>
      <c r="AE137" s="215"/>
      <c r="AF137" s="215"/>
      <c r="AG137" s="215"/>
      <c r="AH137" s="215"/>
      <c r="AI137" s="195"/>
      <c r="AJ137" s="195"/>
      <c r="AK137" s="195"/>
      <c r="AL137" s="195"/>
      <c r="AM137" s="195"/>
      <c r="AN137" s="195"/>
      <c r="AO137" s="195"/>
      <c r="AP137" s="195"/>
      <c r="AQ137" s="195"/>
    </row>
    <row r="138" spans="26:43" x14ac:dyDescent="0.35">
      <c r="Z138" s="195"/>
      <c r="AA138" s="215"/>
      <c r="AB138" s="215"/>
      <c r="AC138" s="215"/>
      <c r="AD138" s="215"/>
      <c r="AE138" s="215"/>
      <c r="AF138" s="215"/>
      <c r="AG138" s="215"/>
      <c r="AH138" s="215"/>
      <c r="AI138" s="195"/>
      <c r="AJ138" s="195"/>
      <c r="AK138" s="195"/>
      <c r="AL138" s="195"/>
      <c r="AM138" s="195"/>
      <c r="AN138" s="195"/>
      <c r="AO138" s="195"/>
      <c r="AP138" s="195"/>
      <c r="AQ138" s="195"/>
    </row>
    <row r="139" spans="26:43" x14ac:dyDescent="0.35">
      <c r="Z139" s="195"/>
      <c r="AA139" s="215"/>
      <c r="AB139" s="215"/>
      <c r="AC139" s="215"/>
      <c r="AD139" s="215"/>
      <c r="AE139" s="215"/>
      <c r="AF139" s="215"/>
      <c r="AG139" s="215"/>
      <c r="AH139" s="215"/>
      <c r="AI139" s="195"/>
      <c r="AJ139" s="195"/>
      <c r="AK139" s="195"/>
      <c r="AL139" s="195"/>
      <c r="AM139" s="195"/>
      <c r="AN139" s="195"/>
      <c r="AO139" s="195"/>
      <c r="AP139" s="195"/>
      <c r="AQ139" s="195"/>
    </row>
    <row r="140" spans="26:43" x14ac:dyDescent="0.35">
      <c r="Z140" s="195"/>
      <c r="AA140" s="215"/>
      <c r="AB140" s="215"/>
      <c r="AC140" s="215"/>
      <c r="AD140" s="215"/>
      <c r="AE140" s="215"/>
      <c r="AF140" s="215"/>
      <c r="AG140" s="215"/>
      <c r="AH140" s="215"/>
      <c r="AI140" s="195"/>
      <c r="AJ140" s="195"/>
      <c r="AK140" s="195"/>
      <c r="AL140" s="195"/>
      <c r="AM140" s="195"/>
      <c r="AN140" s="195"/>
      <c r="AO140" s="195"/>
      <c r="AP140" s="195"/>
      <c r="AQ140" s="195"/>
    </row>
    <row r="141" spans="26:43" x14ac:dyDescent="0.35">
      <c r="Z141" s="195"/>
      <c r="AA141" s="215"/>
      <c r="AB141" s="215"/>
      <c r="AC141" s="215"/>
      <c r="AD141" s="215"/>
      <c r="AE141" s="215"/>
      <c r="AF141" s="215"/>
      <c r="AG141" s="215"/>
      <c r="AH141" s="215"/>
      <c r="AI141" s="195"/>
      <c r="AJ141" s="195"/>
      <c r="AK141" s="195"/>
      <c r="AL141" s="195"/>
      <c r="AM141" s="195"/>
      <c r="AN141" s="195"/>
      <c r="AO141" s="195"/>
      <c r="AP141" s="195"/>
      <c r="AQ141" s="195"/>
    </row>
    <row r="142" spans="26:43" x14ac:dyDescent="0.35">
      <c r="Z142" s="195"/>
      <c r="AA142" s="215"/>
      <c r="AB142" s="215"/>
      <c r="AC142" s="215"/>
      <c r="AD142" s="215"/>
      <c r="AE142" s="215"/>
      <c r="AF142" s="215"/>
      <c r="AG142" s="215"/>
      <c r="AH142" s="215"/>
      <c r="AI142" s="195"/>
      <c r="AJ142" s="195"/>
      <c r="AK142" s="195"/>
      <c r="AL142" s="195"/>
      <c r="AM142" s="195"/>
      <c r="AN142" s="195"/>
      <c r="AO142" s="195"/>
      <c r="AP142" s="195"/>
      <c r="AQ142" s="195"/>
    </row>
    <row r="143" spans="26:43" x14ac:dyDescent="0.35">
      <c r="Z143" s="195"/>
      <c r="AA143" s="215"/>
      <c r="AB143" s="215"/>
      <c r="AC143" s="215"/>
      <c r="AD143" s="215"/>
      <c r="AE143" s="215"/>
      <c r="AF143" s="215"/>
      <c r="AG143" s="215"/>
      <c r="AH143" s="215"/>
      <c r="AI143" s="195"/>
      <c r="AJ143" s="195"/>
      <c r="AK143" s="195"/>
      <c r="AL143" s="195"/>
      <c r="AM143" s="195"/>
      <c r="AN143" s="195"/>
      <c r="AO143" s="195"/>
      <c r="AP143" s="195"/>
      <c r="AQ143" s="195"/>
    </row>
    <row r="144" spans="26:43" x14ac:dyDescent="0.35">
      <c r="Z144" s="195"/>
      <c r="AA144" s="195"/>
      <c r="AB144" s="195"/>
      <c r="AC144" s="195"/>
      <c r="AD144" s="195"/>
      <c r="AE144" s="195"/>
      <c r="AF144" s="195"/>
      <c r="AG144" s="195"/>
      <c r="AH144" s="195"/>
      <c r="AI144" s="195"/>
      <c r="AJ144" s="195"/>
      <c r="AK144" s="195"/>
      <c r="AL144" s="195"/>
      <c r="AM144" s="195"/>
      <c r="AN144" s="195"/>
      <c r="AO144" s="195"/>
      <c r="AP144" s="195"/>
      <c r="AQ144" s="195"/>
    </row>
    <row r="145" spans="26:43" x14ac:dyDescent="0.35">
      <c r="Z145" s="195"/>
      <c r="AA145" s="195"/>
      <c r="AB145" s="195"/>
      <c r="AC145" s="195"/>
      <c r="AD145" s="195"/>
      <c r="AE145" s="195"/>
      <c r="AF145" s="195"/>
      <c r="AG145" s="195"/>
      <c r="AH145" s="195"/>
      <c r="AI145" s="195"/>
      <c r="AJ145" s="195"/>
      <c r="AK145" s="195"/>
      <c r="AL145" s="195"/>
      <c r="AM145" s="195"/>
      <c r="AN145" s="195"/>
      <c r="AO145" s="195"/>
      <c r="AP145" s="195"/>
      <c r="AQ145" s="195"/>
    </row>
    <row r="146" spans="26:43" x14ac:dyDescent="0.35">
      <c r="Z146" s="195"/>
      <c r="AA146" s="195"/>
      <c r="AB146" s="195"/>
      <c r="AC146" s="195"/>
      <c r="AD146" s="195"/>
      <c r="AE146" s="195"/>
      <c r="AF146" s="195"/>
      <c r="AG146" s="195"/>
      <c r="AH146" s="195"/>
      <c r="AI146" s="195"/>
      <c r="AJ146" s="195"/>
      <c r="AK146" s="195"/>
      <c r="AL146" s="195"/>
      <c r="AM146" s="195"/>
      <c r="AN146" s="195"/>
      <c r="AO146" s="195"/>
      <c r="AP146" s="195"/>
      <c r="AQ146" s="195"/>
    </row>
    <row r="147" spans="26:43" x14ac:dyDescent="0.35">
      <c r="Z147" s="195"/>
      <c r="AA147" s="195"/>
      <c r="AB147" s="195"/>
      <c r="AC147" s="195"/>
      <c r="AD147" s="195"/>
      <c r="AE147" s="195"/>
      <c r="AF147" s="195"/>
      <c r="AG147" s="195"/>
      <c r="AH147" s="195"/>
      <c r="AI147" s="195"/>
      <c r="AJ147" s="195"/>
      <c r="AK147" s="195"/>
      <c r="AL147" s="195"/>
      <c r="AM147" s="195"/>
      <c r="AN147" s="195"/>
      <c r="AO147" s="195"/>
      <c r="AP147" s="195"/>
      <c r="AQ147" s="195"/>
    </row>
    <row r="148" spans="26:43" x14ac:dyDescent="0.35">
      <c r="Z148" s="195"/>
      <c r="AA148" s="195"/>
      <c r="AB148" s="195"/>
      <c r="AC148" s="195"/>
      <c r="AD148" s="195"/>
      <c r="AE148" s="195"/>
      <c r="AF148" s="195"/>
      <c r="AG148" s="195"/>
      <c r="AH148" s="195"/>
      <c r="AI148" s="195"/>
      <c r="AJ148" s="195"/>
      <c r="AK148" s="195"/>
      <c r="AL148" s="195"/>
      <c r="AM148" s="195"/>
      <c r="AN148" s="195"/>
      <c r="AO148" s="195"/>
      <c r="AP148" s="195"/>
      <c r="AQ148" s="195"/>
    </row>
  </sheetData>
  <sheetProtection algorithmName="SHA-512" hashValue="uIfrhJ/NFgdit325AZy/Q8l3YAt9VJsDdIkM/OXtPimUTXhejJcogKhJuzyYmDPYXERzkAR+Mb70psky8XIOzA==" saltValue="Q2Z5tyb83RghREmG75wjSQ==" spinCount="100000" sheet="1" objects="1" scenarios="1" selectLockedCells="1"/>
  <mergeCells count="8">
    <mergeCell ref="Y9:AA9"/>
    <mergeCell ref="Y10:AA10"/>
    <mergeCell ref="Y6:AA8"/>
    <mergeCell ref="F16:G16"/>
    <mergeCell ref="B16:D16"/>
    <mergeCell ref="C7:D7"/>
    <mergeCell ref="C9:D9"/>
    <mergeCell ref="C10:D10"/>
  </mergeCells>
  <phoneticPr fontId="16" type="noConversion"/>
  <dataValidations xWindow="580" yWindow="622" count="6">
    <dataValidation type="decimal" allowBlank="1" showInputMessage="1" showErrorMessage="1" error="Enter value between 0 and 35%" promptTitle="Pls refresh" prompt="to see changes" sqref="E16:E17" xr:uid="{4DD7B42C-E0E7-48FB-9149-8D724BBB9FC6}">
      <formula1>0</formula1>
      <formula2>0.5</formula2>
    </dataValidation>
    <dataValidation type="whole" allowBlank="1" showInputMessage="1" showErrorMessage="1" error="Enter value between 0 and 60€" promptTitle="Pls refresh" prompt="to see changes" sqref="H16" xr:uid="{60BB6F78-0FDF-46D0-80C6-6B731150C4A9}">
      <formula1>0</formula1>
      <formula2>60</formula2>
    </dataValidation>
    <dataValidation allowBlank="1" showInputMessage="1" showErrorMessage="1" promptTitle="Pls refresh" prompt="to see changes" sqref="E9:E10 E14 E23:E24 E26 C26 C28:C31 C34:C35 C37:C38 C5" xr:uid="{2F9AD30A-AF94-49CF-8E81-4D769B6385E4}"/>
    <dataValidation allowBlank="1" showInputMessage="1" showErrorMessage="1" promptTitle="Pls refresh to see changes" sqref="D6" xr:uid="{80428027-13AF-445A-BD77-8E0386979A37}"/>
    <dataValidation type="list" allowBlank="1" showInputMessage="1" showErrorMessage="1" promptTitle="Pls refresh" prompt="to see changes" sqref="C3" xr:uid="{92CFEEFD-E950-4BF4-BFAD-D25D9C0352D6}">
      <formula1>"2027,2028"</formula1>
    </dataValidation>
    <dataValidation type="list" allowBlank="1" showInputMessage="1" showErrorMessage="1" promptTitle="Pls refresh" prompt="to see changes" sqref="E5" xr:uid="{A4FB9862-9AD0-4B5F-982E-CE78A9995E8A}">
      <formula1>$B$8:$B$13</formula1>
    </dataValidation>
  </dataValidations>
  <pageMargins left="0.7" right="0.7" top="0.78740157499999996" bottom="0.78740157499999996"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E2254-621A-4705-8C09-7882580C9936}">
  <sheetPr codeName="Sheet2"/>
  <dimension ref="A1:CO130"/>
  <sheetViews>
    <sheetView showGridLines="0" zoomScale="70" zoomScaleNormal="70" workbookViewId="0"/>
  </sheetViews>
  <sheetFormatPr defaultColWidth="9.1796875" defaultRowHeight="15" x14ac:dyDescent="0.35"/>
  <cols>
    <col min="1" max="1" width="2.6328125" customWidth="1"/>
    <col min="2" max="2" width="16" customWidth="1"/>
    <col min="3" max="3" width="10.81640625" customWidth="1"/>
    <col min="4" max="9" width="8.54296875" customWidth="1"/>
    <col min="10" max="10" width="11" customWidth="1"/>
    <col min="11" max="11" width="10.81640625" customWidth="1"/>
    <col min="12" max="12" width="10.36328125" customWidth="1"/>
    <col min="13" max="13" width="9" customWidth="1"/>
    <col min="14" max="14" width="10" bestFit="1" customWidth="1"/>
    <col min="15" max="17" width="9.81640625" bestFit="1" customWidth="1"/>
    <col min="18" max="18" width="10.1796875" bestFit="1" customWidth="1"/>
    <col min="19" max="19" width="10.453125" bestFit="1" customWidth="1"/>
    <col min="20" max="20" width="10.81640625" customWidth="1"/>
    <col min="21" max="21" width="10.6328125" customWidth="1"/>
    <col min="22" max="22" width="10.81640625" bestFit="1" customWidth="1"/>
    <col min="23" max="27" width="7.1796875" customWidth="1"/>
    <col min="28" max="28" width="8.54296875" customWidth="1"/>
    <col min="29" max="30" width="12.81640625" customWidth="1"/>
    <col min="31" max="31" width="10.81640625" customWidth="1"/>
    <col min="32" max="32" width="8.81640625" customWidth="1"/>
    <col min="33" max="33" width="7.1796875" customWidth="1"/>
    <col min="34" max="34" width="9.1796875" bestFit="1" customWidth="1"/>
    <col min="35" max="35" width="9.81640625" bestFit="1" customWidth="1"/>
    <col min="36" max="36" width="9.54296875" bestFit="1" customWidth="1"/>
    <col min="37" max="37" width="9.81640625" bestFit="1" customWidth="1"/>
    <col min="38" max="38" width="10.36328125" bestFit="1" customWidth="1"/>
    <col min="39" max="40" width="11" customWidth="1"/>
    <col min="41" max="41" width="10.81640625" customWidth="1"/>
    <col min="42" max="42" width="9.81640625" bestFit="1" customWidth="1"/>
    <col min="43" max="44" width="10" bestFit="1" customWidth="1"/>
    <col min="45" max="45" width="20.453125" customWidth="1"/>
    <col min="46" max="47" width="10.81640625" bestFit="1" customWidth="1"/>
    <col min="48" max="48" width="9.81640625" bestFit="1" customWidth="1"/>
    <col min="49" max="49" width="10.81640625" customWidth="1"/>
    <col min="50" max="50" width="11" customWidth="1"/>
    <col min="51" max="51" width="10.81640625" customWidth="1"/>
    <col min="52" max="52" width="10.1796875" bestFit="1" customWidth="1"/>
    <col min="53" max="53" width="10" bestFit="1" customWidth="1"/>
    <col min="54" max="54" width="10.6328125" bestFit="1" customWidth="1"/>
    <col min="55" max="55" width="10.36328125" bestFit="1" customWidth="1"/>
    <col min="56" max="56" width="10.6328125" bestFit="1" customWidth="1"/>
    <col min="57" max="57" width="10.1796875" bestFit="1" customWidth="1"/>
    <col min="58" max="58" width="11" customWidth="1"/>
    <col min="59" max="59" width="10.81640625" customWidth="1"/>
    <col min="60" max="60" width="15" customWidth="1"/>
    <col min="70" max="70" width="11" customWidth="1"/>
    <col min="71" max="71" width="10.81640625" customWidth="1"/>
  </cols>
  <sheetData>
    <row r="1" spans="2:56" x14ac:dyDescent="0.35">
      <c r="D1" s="12"/>
      <c r="N1" t="s">
        <v>69</v>
      </c>
      <c r="P1" s="143" t="s">
        <v>121</v>
      </c>
      <c r="Q1" s="143" t="s">
        <v>121</v>
      </c>
    </row>
    <row r="2" spans="2:56" ht="60" x14ac:dyDescent="0.35">
      <c r="B2" s="369" t="s">
        <v>182</v>
      </c>
      <c r="C2" s="370"/>
      <c r="D2" s="261" t="s">
        <v>200</v>
      </c>
      <c r="E2" s="375" t="s">
        <v>188</v>
      </c>
      <c r="F2" s="376"/>
      <c r="G2" s="376"/>
      <c r="H2" s="376"/>
      <c r="I2" s="376"/>
      <c r="J2" s="377"/>
      <c r="N2" s="380" t="s">
        <v>201</v>
      </c>
      <c r="O2" s="381"/>
      <c r="P2" s="88" t="s">
        <v>185</v>
      </c>
      <c r="Q2" s="88" t="s">
        <v>143</v>
      </c>
      <c r="R2" s="88" t="s">
        <v>145</v>
      </c>
      <c r="U2" s="382" t="s">
        <v>189</v>
      </c>
      <c r="V2" s="383"/>
      <c r="W2" s="383"/>
      <c r="X2" s="383"/>
      <c r="Y2" s="383"/>
      <c r="Z2" s="383"/>
      <c r="AA2" s="384"/>
      <c r="AB2" s="166" t="s">
        <v>186</v>
      </c>
      <c r="AC2" s="369" t="s">
        <v>187</v>
      </c>
      <c r="AD2" s="370"/>
      <c r="AE2" s="41">
        <v>2025</v>
      </c>
      <c r="AF2" s="41">
        <v>2026</v>
      </c>
      <c r="AG2" s="63">
        <v>2027</v>
      </c>
      <c r="AH2" s="41">
        <v>2028</v>
      </c>
      <c r="AI2" s="41">
        <v>2029</v>
      </c>
      <c r="AJ2" s="41">
        <v>2030</v>
      </c>
      <c r="AK2" s="41">
        <v>2031</v>
      </c>
      <c r="AL2" s="41">
        <v>2032</v>
      </c>
      <c r="AM2" s="127">
        <v>2033</v>
      </c>
      <c r="AN2" s="41">
        <v>2034</v>
      </c>
      <c r="AO2" s="42">
        <v>2035</v>
      </c>
      <c r="AP2" s="126" t="s">
        <v>1</v>
      </c>
      <c r="AS2" s="371" t="s">
        <v>218</v>
      </c>
      <c r="AT2" s="372"/>
      <c r="AU2" s="312">
        <v>2027</v>
      </c>
      <c r="AV2" s="313">
        <v>2028</v>
      </c>
      <c r="AW2" s="313">
        <v>2029</v>
      </c>
      <c r="AX2" s="313">
        <v>2030</v>
      </c>
      <c r="AY2" s="313">
        <v>2031</v>
      </c>
      <c r="AZ2" s="313">
        <v>2032</v>
      </c>
    </row>
    <row r="3" spans="2:56" ht="30" x14ac:dyDescent="0.35">
      <c r="B3" s="378" t="s">
        <v>52</v>
      </c>
      <c r="C3" s="379"/>
      <c r="D3" s="64">
        <v>2026</v>
      </c>
      <c r="E3" s="64">
        <v>2027</v>
      </c>
      <c r="F3" s="64">
        <v>2028</v>
      </c>
      <c r="G3" s="64">
        <v>2029</v>
      </c>
      <c r="H3" s="64">
        <v>2030</v>
      </c>
      <c r="I3" s="64">
        <v>2031</v>
      </c>
      <c r="J3" s="64">
        <v>2032</v>
      </c>
      <c r="K3" s="64" t="s">
        <v>183</v>
      </c>
      <c r="N3" s="64" t="s">
        <v>184</v>
      </c>
      <c r="O3" s="65" t="s">
        <v>30</v>
      </c>
      <c r="P3" s="64" t="s">
        <v>30</v>
      </c>
      <c r="Q3" s="64" t="s">
        <v>144</v>
      </c>
      <c r="R3" s="64" t="s">
        <v>144</v>
      </c>
      <c r="U3" s="110">
        <v>2016</v>
      </c>
      <c r="V3" s="110">
        <v>2017</v>
      </c>
      <c r="W3" s="110">
        <v>2018</v>
      </c>
      <c r="X3" s="110">
        <v>2019</v>
      </c>
      <c r="Y3" s="110">
        <v>2020</v>
      </c>
      <c r="Z3" s="385" t="s">
        <v>31</v>
      </c>
      <c r="AA3" s="386"/>
      <c r="AB3" s="171">
        <v>2021</v>
      </c>
      <c r="AC3" s="365" t="s">
        <v>32</v>
      </c>
      <c r="AD3" s="366"/>
      <c r="AE3" s="109"/>
      <c r="AF3" s="30"/>
      <c r="AG3" s="247">
        <v>1036.2887840000001</v>
      </c>
      <c r="AH3" s="247">
        <v>978.33955791919232</v>
      </c>
      <c r="AI3" s="247">
        <v>915.57463040183893</v>
      </c>
      <c r="AJ3" s="247">
        <v>852.80970288448555</v>
      </c>
      <c r="AK3" s="247">
        <v>790.04477536713216</v>
      </c>
      <c r="AL3" s="247">
        <v>727.27984784977878</v>
      </c>
      <c r="AM3" s="248">
        <v>669</v>
      </c>
      <c r="AN3" s="247">
        <v>608</v>
      </c>
      <c r="AO3" s="247">
        <v>552</v>
      </c>
      <c r="AP3" s="249">
        <f>SUM(AG3:AO3)</f>
        <v>7129.3372984224279</v>
      </c>
      <c r="AS3" s="333" t="str">
        <f>Dashboard!B13</f>
        <v>Veyt MSR changes + 2028 start</v>
      </c>
      <c r="AT3" s="302" t="s">
        <v>34</v>
      </c>
      <c r="AU3" s="314">
        <v>46</v>
      </c>
      <c r="AV3" s="302">
        <v>46</v>
      </c>
      <c r="AW3" s="302">
        <v>56</v>
      </c>
      <c r="AX3" s="302">
        <v>67</v>
      </c>
      <c r="AY3" s="302">
        <v>72</v>
      </c>
      <c r="AZ3" s="302">
        <v>76</v>
      </c>
    </row>
    <row r="4" spans="2:56" ht="28.2" customHeight="1" x14ac:dyDescent="0.35">
      <c r="B4" s="64" t="s">
        <v>29</v>
      </c>
      <c r="C4" s="64" t="s">
        <v>41</v>
      </c>
      <c r="D4" s="238">
        <v>4000</v>
      </c>
      <c r="E4" s="238">
        <v>10900</v>
      </c>
      <c r="F4" s="238">
        <v>10500</v>
      </c>
      <c r="G4" s="238">
        <v>10300</v>
      </c>
      <c r="H4" s="238">
        <v>10100</v>
      </c>
      <c r="I4" s="238">
        <v>9800</v>
      </c>
      <c r="J4" s="238">
        <v>9400</v>
      </c>
      <c r="K4" s="238">
        <f>SUM(D4:J4)</f>
        <v>65000</v>
      </c>
      <c r="M4" s="64" t="s">
        <v>29</v>
      </c>
      <c r="N4" s="67">
        <f>SUM(N5:N31)</f>
        <v>449.29900000000004</v>
      </c>
      <c r="O4" s="262">
        <f>SUM(O5:O31)</f>
        <v>0.99999999999999967</v>
      </c>
      <c r="P4" s="262">
        <v>0.214</v>
      </c>
      <c r="Q4" s="167">
        <v>20350</v>
      </c>
      <c r="R4" s="170">
        <f>Q4/12</f>
        <v>1695.8333333333333</v>
      </c>
      <c r="T4" s="64" t="s">
        <v>29</v>
      </c>
      <c r="U4" s="243">
        <v>1377.433065277748</v>
      </c>
      <c r="V4" s="244">
        <v>1386.1819974903242</v>
      </c>
      <c r="W4" s="244">
        <v>1377.7815572957695</v>
      </c>
      <c r="X4" s="244">
        <v>1368.3635381954059</v>
      </c>
      <c r="Y4" s="244">
        <v>1248.058235362857</v>
      </c>
      <c r="Z4" s="242">
        <v>1380.4655400212805</v>
      </c>
      <c r="AA4" s="266">
        <v>1</v>
      </c>
      <c r="AB4" s="128">
        <v>3.0270328188538653</v>
      </c>
      <c r="AC4" s="365" t="s">
        <v>43</v>
      </c>
      <c r="AD4" s="366"/>
      <c r="AF4" s="22"/>
      <c r="AG4" s="247">
        <f>IF($AE13=2027,AG3*0.3,0)</f>
        <v>0</v>
      </c>
      <c r="AH4" s="247">
        <f>IF($AE13=2028,AH3*0.3,0)</f>
        <v>293.50186737575768</v>
      </c>
      <c r="AI4" s="247">
        <f>IF(AG4=0,0,-$AG$4/3)</f>
        <v>0</v>
      </c>
      <c r="AJ4" s="247">
        <f>IF(AG4=0,IF(AH4=0,0,-AH4/3),-$AG$4/3)</f>
        <v>-97.833955791919223</v>
      </c>
      <c r="AK4" s="247">
        <f>IF(AG4=0,IF(AH4=0,0,-AH4/3),-$AG$4/3)</f>
        <v>-97.833955791919223</v>
      </c>
      <c r="AL4" s="247">
        <f>IF(AH4=0,0,-AH4/3)</f>
        <v>-97.833955791919223</v>
      </c>
      <c r="AM4" s="247">
        <v>0</v>
      </c>
      <c r="AN4" s="247">
        <v>0</v>
      </c>
      <c r="AO4" s="247">
        <v>0</v>
      </c>
      <c r="AP4" s="250">
        <f>SUM(AG4:AO4)</f>
        <v>2.8421709430404007E-14</v>
      </c>
      <c r="AS4" s="191" t="str">
        <f>Dashboard!B11</f>
        <v>BNEF incl. MSR reform</v>
      </c>
      <c r="AT4" s="302" t="s">
        <v>34</v>
      </c>
      <c r="AU4" s="314">
        <v>48</v>
      </c>
      <c r="AV4" s="302">
        <v>55</v>
      </c>
      <c r="AW4" s="302">
        <v>62</v>
      </c>
      <c r="AX4" s="302">
        <v>80</v>
      </c>
      <c r="AY4" s="302">
        <v>94</v>
      </c>
      <c r="AZ4" s="302">
        <v>79</v>
      </c>
    </row>
    <row r="5" spans="2:56" x14ac:dyDescent="0.35">
      <c r="B5" s="11" t="s">
        <v>2</v>
      </c>
      <c r="C5" s="26">
        <v>8.8999999999999999E-3</v>
      </c>
      <c r="D5" s="239">
        <f>D$4*$C5</f>
        <v>35.6</v>
      </c>
      <c r="E5" s="239">
        <f>E$4*$C5</f>
        <v>97.01</v>
      </c>
      <c r="F5" s="239">
        <f t="shared" ref="F5:J20" si="0">F$4*$C5</f>
        <v>93.45</v>
      </c>
      <c r="G5" s="239">
        <f t="shared" si="0"/>
        <v>91.67</v>
      </c>
      <c r="H5" s="239">
        <f t="shared" si="0"/>
        <v>89.89</v>
      </c>
      <c r="I5" s="239">
        <f t="shared" si="0"/>
        <v>87.22</v>
      </c>
      <c r="J5" s="239">
        <f t="shared" si="0"/>
        <v>83.66</v>
      </c>
      <c r="K5" s="235">
        <v>578.97925326729501</v>
      </c>
      <c r="M5" s="2" t="s">
        <v>2</v>
      </c>
      <c r="N5" s="66">
        <v>9.1579999999999995</v>
      </c>
      <c r="O5" s="263">
        <f t="shared" ref="O5:O31" si="1">N5/N$4</f>
        <v>2.0382863082268152E-2</v>
      </c>
      <c r="P5" s="263">
        <v>0.17724838428</v>
      </c>
      <c r="Q5" s="94">
        <v>31443</v>
      </c>
      <c r="R5" s="168">
        <f t="shared" ref="R5:R31" si="2">Q5/12</f>
        <v>2620.25</v>
      </c>
      <c r="T5" s="2" t="s">
        <v>2</v>
      </c>
      <c r="U5" s="240">
        <v>36.494628658162554</v>
      </c>
      <c r="V5" s="240">
        <v>37.383880620880298</v>
      </c>
      <c r="W5" s="240">
        <v>36.808492482303514</v>
      </c>
      <c r="X5" s="240">
        <v>36.994782839598464</v>
      </c>
      <c r="Y5" s="245">
        <v>33.623496226278107</v>
      </c>
      <c r="Z5" s="13">
        <v>36.895667253782115</v>
      </c>
      <c r="AA5" s="9">
        <v>2.6726974476460566E-2</v>
      </c>
      <c r="AB5" s="128">
        <v>4.0056311805454126</v>
      </c>
      <c r="AC5" s="367" t="s">
        <v>222</v>
      </c>
      <c r="AD5" s="367"/>
      <c r="AE5" s="7"/>
      <c r="AF5" s="93"/>
      <c r="AG5" s="317">
        <f>IF(AG4=0,0,IF(AU8&gt;56.5,80,0))</f>
        <v>0</v>
      </c>
      <c r="AH5">
        <f>IF(AV8&gt;57.7,80,0)</f>
        <v>0</v>
      </c>
      <c r="AI5">
        <f>IF(AW8&gt;58.8,80,0)+IF(AND(AI2&lt;=$AE20,SUM($AG5:AH5)&lt;=500,AH10&lt;=210),100,IF(AND(AI2&lt;=$AE20,AH10&lt;=210),600-SUM($AG5:AH5),0))</f>
        <v>0</v>
      </c>
      <c r="AJ5">
        <f>IF(AND(AJ2&lt;=$AE20,SUM($AG5:AI5)&lt;=500,AI10&lt;=210),100,IF(AND(AJ2&lt;=$AE20,AI10&lt;=210),600-SUM($AG5:AI5),0))</f>
        <v>0</v>
      </c>
      <c r="AK5">
        <f>IF(AND(AK2&lt;=$AE20,SUM($AG5:AJ5)&lt;=500,AJ10&lt;=210),100,IF(AND(AK2&lt;=$AE20,AJ10&lt;=210),600-SUM($AG5:AJ5),0))</f>
        <v>0</v>
      </c>
      <c r="AL5">
        <f>IF(AND(AL2&lt;=$AE20,SUM($AG5:AK5)&lt;=500,AK10&lt;=210),100,IF(AND(AL2&lt;=$AE20,AK10&lt;=210),600-SUM($AG5:AK5),0))</f>
        <v>0</v>
      </c>
      <c r="AM5">
        <f>IF(AND(AM2&lt;=$AE20,SUM($AG5:AL5)&lt;=500,AL10&lt;=210),100,IF(AND(AM2&lt;=$AE20,AL10&lt;=210),600-SUM($AG5:AL5),0))</f>
        <v>0</v>
      </c>
      <c r="AN5">
        <f>IF(AND(AN2&lt;=$AE20,SUM($AG5:AM5)&lt;=500,AM10&lt;=210),100,IF(AND(AN2&lt;=$AE20,AM10&lt;=210),600-SUM($AG5:AM5),0))</f>
        <v>0</v>
      </c>
      <c r="AO5" s="93">
        <f>IF(AND(AO2&lt;=$AE20,SUM($AG5:AN5)&lt;=500,AN10&lt;=210),100,IF(AND(AO2&lt;=$AE20,AN10&lt;=210),600-SUM($AG5:AN5),0))</f>
        <v>0</v>
      </c>
      <c r="AP5" s="250">
        <f>SUM(AG5:AO5)</f>
        <v>0</v>
      </c>
      <c r="AS5" s="303" t="str">
        <f>Dashboard!B12</f>
        <v>Clear Blue Markets</v>
      </c>
      <c r="AT5" s="304" t="s">
        <v>34</v>
      </c>
      <c r="AU5" s="315">
        <v>55</v>
      </c>
      <c r="AV5" s="304">
        <v>67</v>
      </c>
      <c r="AW5" s="304">
        <v>79</v>
      </c>
      <c r="AX5" s="304">
        <v>99</v>
      </c>
      <c r="AY5" s="304">
        <v>145</v>
      </c>
      <c r="AZ5" s="304">
        <v>180</v>
      </c>
    </row>
    <row r="6" spans="2:56" x14ac:dyDescent="0.35">
      <c r="B6" s="2" t="s">
        <v>3</v>
      </c>
      <c r="C6" s="27">
        <v>2.5499999999999998E-2</v>
      </c>
      <c r="D6" s="240">
        <f t="shared" ref="D6:D31" si="3">D$4*C6</f>
        <v>102</v>
      </c>
      <c r="E6" s="240">
        <f t="shared" ref="E6:J31" si="4">E$4*$C6</f>
        <v>277.95</v>
      </c>
      <c r="F6" s="240">
        <f t="shared" si="0"/>
        <v>267.75</v>
      </c>
      <c r="G6" s="240">
        <f t="shared" si="0"/>
        <v>262.64999999999998</v>
      </c>
      <c r="H6" s="240">
        <f t="shared" si="0"/>
        <v>257.55</v>
      </c>
      <c r="I6" s="240">
        <f t="shared" si="0"/>
        <v>249.89999999999998</v>
      </c>
      <c r="J6" s="240">
        <f t="shared" si="0"/>
        <v>239.7</v>
      </c>
      <c r="K6" s="236">
        <v>1659.7298763393271</v>
      </c>
      <c r="M6" s="2" t="s">
        <v>3</v>
      </c>
      <c r="N6" s="66">
        <v>11.817</v>
      </c>
      <c r="O6" s="264">
        <f t="shared" si="1"/>
        <v>2.6300971068264116E-2</v>
      </c>
      <c r="P6" s="264">
        <v>0.18580688096</v>
      </c>
      <c r="Q6" s="96">
        <v>28997</v>
      </c>
      <c r="R6" s="168">
        <f t="shared" si="2"/>
        <v>2416.4166666666665</v>
      </c>
      <c r="T6" s="2" t="s">
        <v>3</v>
      </c>
      <c r="U6" s="240">
        <v>53.427989041156337</v>
      </c>
      <c r="V6" s="240">
        <v>52.722142938500767</v>
      </c>
      <c r="W6" s="240">
        <v>52.886781646475718</v>
      </c>
      <c r="X6" s="240">
        <v>51.623775117243802</v>
      </c>
      <c r="Y6" s="245">
        <v>46.139343842058999</v>
      </c>
      <c r="Z6" s="13">
        <v>53.012304542044269</v>
      </c>
      <c r="AA6" s="9">
        <v>3.8401758685861188E-2</v>
      </c>
      <c r="AB6" s="128">
        <v>4.3278763896355432</v>
      </c>
      <c r="AC6" s="367" t="s">
        <v>224</v>
      </c>
      <c r="AD6" s="368"/>
      <c r="AE6" s="7"/>
      <c r="AF6" s="93"/>
      <c r="AG6" s="317">
        <f>IF(AH4=0,0,AE19*(AH3+AH4))</f>
        <v>381.55242758848505</v>
      </c>
      <c r="AO6" s="93"/>
      <c r="AP6" s="2"/>
    </row>
    <row r="7" spans="2:56" x14ac:dyDescent="0.35">
      <c r="B7" s="2" t="s">
        <v>4</v>
      </c>
      <c r="C7" s="27">
        <v>3.85E-2</v>
      </c>
      <c r="D7" s="240">
        <f t="shared" si="3"/>
        <v>154</v>
      </c>
      <c r="E7" s="240">
        <f t="shared" si="4"/>
        <v>419.65</v>
      </c>
      <c r="F7" s="240">
        <f t="shared" si="0"/>
        <v>404.25</v>
      </c>
      <c r="G7" s="240">
        <f t="shared" si="0"/>
        <v>396.55</v>
      </c>
      <c r="H7" s="240">
        <f t="shared" si="0"/>
        <v>388.85</v>
      </c>
      <c r="I7" s="240">
        <f t="shared" si="0"/>
        <v>377.3</v>
      </c>
      <c r="J7" s="240">
        <f t="shared" si="0"/>
        <v>361.9</v>
      </c>
      <c r="K7" s="236">
        <v>2499.4902803080995</v>
      </c>
      <c r="M7" s="2" t="s">
        <v>4</v>
      </c>
      <c r="N7" s="66">
        <v>6.4450000000000003</v>
      </c>
      <c r="O7" s="264">
        <f t="shared" si="1"/>
        <v>1.4344567871283933E-2</v>
      </c>
      <c r="P7" s="264">
        <v>0.29960427067000001</v>
      </c>
      <c r="Q7" s="96">
        <v>6523</v>
      </c>
      <c r="R7" s="168">
        <f t="shared" si="2"/>
        <v>543.58333333333337</v>
      </c>
      <c r="T7" s="2" t="s">
        <v>4</v>
      </c>
      <c r="U7" s="240">
        <v>11.331567626170774</v>
      </c>
      <c r="V7" s="240">
        <v>12.556412396120839</v>
      </c>
      <c r="W7" s="240">
        <v>13.694350175903535</v>
      </c>
      <c r="X7" s="240">
        <v>14.811345282439479</v>
      </c>
      <c r="Y7" s="245">
        <v>11.799686497066023</v>
      </c>
      <c r="Z7" s="13">
        <v>12.527443399398384</v>
      </c>
      <c r="AA7" s="9">
        <v>9.0747961728948837E-3</v>
      </c>
      <c r="AB7" s="128">
        <v>2.1496025831764825</v>
      </c>
      <c r="AC7" s="365" t="s">
        <v>33</v>
      </c>
      <c r="AD7" s="365"/>
      <c r="AE7" s="7"/>
      <c r="AF7" s="23"/>
      <c r="AG7" s="251">
        <f>IF(AE13=2027,SUM(AG3:AG5),SUM(AG4:AG6))</f>
        <v>381.55242758848505</v>
      </c>
      <c r="AH7" s="251">
        <f>SUM(AH3:AH6)-AG6</f>
        <v>890.28899770646512</v>
      </c>
      <c r="AI7" s="251">
        <f t="shared" ref="AI7:AO7" si="5">SUM(AI3:AI6)</f>
        <v>915.57463040183893</v>
      </c>
      <c r="AJ7" s="251">
        <f t="shared" si="5"/>
        <v>754.97574709256628</v>
      </c>
      <c r="AK7" s="251">
        <f t="shared" si="5"/>
        <v>692.21081957521289</v>
      </c>
      <c r="AL7" s="251">
        <f t="shared" si="5"/>
        <v>629.44589205785951</v>
      </c>
      <c r="AM7" s="322">
        <f t="shared" si="5"/>
        <v>669</v>
      </c>
      <c r="AN7" s="251">
        <f t="shared" si="5"/>
        <v>608</v>
      </c>
      <c r="AO7" s="251">
        <f t="shared" si="5"/>
        <v>552</v>
      </c>
      <c r="AP7" s="252">
        <f>SUM(AG7:AO7)</f>
        <v>6093.0485144224276</v>
      </c>
      <c r="AS7" s="373" t="s">
        <v>219</v>
      </c>
      <c r="AT7" s="373"/>
      <c r="AU7" s="307">
        <v>2027</v>
      </c>
      <c r="AV7" s="306">
        <v>2028</v>
      </c>
      <c r="AW7" s="306">
        <v>2029</v>
      </c>
      <c r="AX7" s="306">
        <v>2030</v>
      </c>
      <c r="AY7" s="306">
        <v>2031</v>
      </c>
      <c r="AZ7" s="306">
        <v>2032</v>
      </c>
    </row>
    <row r="8" spans="2:56" x14ac:dyDescent="0.35">
      <c r="B8" s="2" t="s">
        <v>5</v>
      </c>
      <c r="C8" s="27">
        <v>1.9400000000000001E-2</v>
      </c>
      <c r="D8" s="240">
        <f t="shared" si="3"/>
        <v>77.600000000000009</v>
      </c>
      <c r="E8" s="240">
        <f t="shared" si="4"/>
        <v>211.46</v>
      </c>
      <c r="F8" s="240">
        <f t="shared" si="0"/>
        <v>203.70000000000002</v>
      </c>
      <c r="G8" s="240">
        <f t="shared" si="0"/>
        <v>199.82</v>
      </c>
      <c r="H8" s="240">
        <f t="shared" si="0"/>
        <v>195.94</v>
      </c>
      <c r="I8" s="240">
        <f t="shared" si="0"/>
        <v>190.12</v>
      </c>
      <c r="J8" s="240">
        <f t="shared" si="0"/>
        <v>182.36</v>
      </c>
      <c r="K8" s="236">
        <v>1263.0718990245693</v>
      </c>
      <c r="M8" s="2" t="s">
        <v>5</v>
      </c>
      <c r="N8" s="66">
        <v>3.8620000000000001</v>
      </c>
      <c r="O8" s="264">
        <f t="shared" si="1"/>
        <v>8.5956122760121878E-3</v>
      </c>
      <c r="P8" s="264">
        <v>0.20698935069000002</v>
      </c>
      <c r="Q8" s="96">
        <v>9873</v>
      </c>
      <c r="R8" s="168">
        <f t="shared" si="2"/>
        <v>822.75</v>
      </c>
      <c r="T8" s="2" t="s">
        <v>5</v>
      </c>
      <c r="U8" s="240">
        <v>9.0740168648534567</v>
      </c>
      <c r="V8" s="240">
        <v>9.5611850107335528</v>
      </c>
      <c r="W8" s="240">
        <v>9.4710991014877379</v>
      </c>
      <c r="X8" s="240">
        <v>9.5870712469263903</v>
      </c>
      <c r="Y8" s="245">
        <v>8.889877432653698</v>
      </c>
      <c r="Z8" s="13">
        <v>9.3687669923582479</v>
      </c>
      <c r="AA8" s="9">
        <v>6.7866721194748724E-3</v>
      </c>
      <c r="AB8" s="128">
        <v>2.523501514064304</v>
      </c>
      <c r="AC8" s="365" t="s">
        <v>50</v>
      </c>
      <c r="AD8" s="366"/>
      <c r="AE8" s="7"/>
      <c r="AF8" s="23"/>
      <c r="AG8" s="253">
        <f t="shared" ref="AG8:AL8" si="6">D65/AU8</f>
        <v>237.76217391304351</v>
      </c>
      <c r="AH8" s="254">
        <f t="shared" si="6"/>
        <v>229.03695652173914</v>
      </c>
      <c r="AI8" s="254">
        <f t="shared" si="6"/>
        <v>184.55392857142857</v>
      </c>
      <c r="AJ8" s="254">
        <f t="shared" si="6"/>
        <v>151.2588059701493</v>
      </c>
      <c r="AK8" s="254">
        <f t="shared" si="6"/>
        <v>136.57388888888886</v>
      </c>
      <c r="AL8" s="254">
        <f t="shared" si="6"/>
        <v>124.10473684210528</v>
      </c>
      <c r="AM8" s="325"/>
      <c r="AN8" s="60"/>
      <c r="AO8" s="60"/>
      <c r="AP8" s="255">
        <f>SUM(AG8:AL8)</f>
        <v>1063.2904907073546</v>
      </c>
      <c r="AS8" s="1"/>
      <c r="AT8" s="44" t="s">
        <v>34</v>
      </c>
      <c r="AU8" s="106">
        <f>IF($AE$17&lt;&gt;0,MIN($AE$17,IF($AG$14=$AS$3,VLOOKUP($AS$3,$AS3:$AZ5,3,FALSE),IF($AG$14=$AS$4,VLOOKUP($AS$4,$AS3:$AZ5,3,FALSE),IF($AG$14=$AS$5,VLOOKUP($AS$5,$AS3:$AZ5,3,FALSE),$AE$14)))))</f>
        <v>46</v>
      </c>
      <c r="AV8" s="305">
        <f>IF($AE$17&lt;&gt;0,MIN($AE$17,IF($AG$14=Dashboard!$B$8,AU8,IF($AG$14=$AD15,AU8*(1+$AE15),IF($AG$14=$AD16,AU8*(1+$AE16),IF($AG$14=$AS3,VLOOKUP($AS3,$AS3:$AZ5,4,FALSE),IF($AG$14=$AS4,VLOOKUP($AS4,$AS3:$AZ5,4,FALSE),IF($AG$14=$AS5,VLOOKUP($AS5,$AS3:$AZ5,4,FALSE),"-"))))))))</f>
        <v>46</v>
      </c>
      <c r="AW8" s="305">
        <f>IF($AE$17&lt;&gt;0,MIN($AE$17,IF($AG$14=Dashboard!$B$8,AV8,IF($AG$14=$AD15,AV8*(1+$AE15),IF($AG$14=$AD16,AV8*(1+$AE16),IF($AG$14=$AS3,VLOOKUP($AS3,$AS3:$AZ5,5,FALSE),IF($AG$14=$AS4,VLOOKUP($AS4,$AS3:$AZ5,5,FALSE),IF($AG$14=$AS5,VLOOKUP($AS5,$AS3:$AZ5,5,FALSE),"-"))))))))</f>
        <v>56</v>
      </c>
      <c r="AX8" s="305">
        <f>IF($AE$17&lt;&gt;0,MIN($AE$17,IF($AG$14=Dashboard!$B$8,AW8,IF($AG$14=$AD15,AW8*(1+$AE15),IF($AG$14=$AD16,AW8*(1+$AE16),IF($AG$14=$AS3,VLOOKUP($AS3,$AS3:$AZ5,6,FALSE),IF($AG$14=$AS4,VLOOKUP($AS4,$AS3:$AZ5,6,FALSE),IF($AG$14=$AS5,VLOOKUP($AS5,$AS3:$AZ5,6,FALSE),"-"))))))))</f>
        <v>67</v>
      </c>
      <c r="AY8" s="305">
        <f>IF($AE$17&lt;&gt;0,MIN($AE$17,IF($AG$14=Dashboard!$B$8,AX8,IF($AG$14=$AD15,AX8*(1+$AE15),IF($AG$14=$AD16,AX8*(1+$AE16),IF($AG$14=$AS3,VLOOKUP($AS3,$AS3:$AZ5,7,FALSE),IF($AG$14=$AS4,VLOOKUP($AS4,$AS3:$AZ5,7,FALSE),IF($AG$14=$AS5,VLOOKUP($AS5,$AS3:$AZ5,7,FALSE),"-"))))))))</f>
        <v>72</v>
      </c>
      <c r="AZ8" s="305">
        <f>IF($AE$17&lt;&gt;0,MIN($AE$17,IF($AG$14=Dashboard!$B$8,AY8,IF($AG$14=$AD15,AY8*(1+$AE15),IF($AG$14=$AD16,AY8*(1+$AE16),IF($AG$14=$AS3,VLOOKUP($AS3,$AS3:$AZ5,8,FALSE),IF($AG$14=$AS4,VLOOKUP($AS4,$AS3:$AZ5,8,FALSE),IF($AG$14=$AS5,VLOOKUP($AS5,$AS3:$AZ5,8,FALSE),"-"))))))))</f>
        <v>76</v>
      </c>
    </row>
    <row r="9" spans="2:56" x14ac:dyDescent="0.35">
      <c r="B9" s="2" t="s">
        <v>6</v>
      </c>
      <c r="C9" s="27">
        <v>2E-3</v>
      </c>
      <c r="D9" s="240">
        <f t="shared" si="3"/>
        <v>8</v>
      </c>
      <c r="E9" s="240">
        <f t="shared" si="4"/>
        <v>21.8</v>
      </c>
      <c r="F9" s="240">
        <f t="shared" si="0"/>
        <v>21</v>
      </c>
      <c r="G9" s="240">
        <f t="shared" si="0"/>
        <v>20.6</v>
      </c>
      <c r="H9" s="240">
        <f t="shared" si="0"/>
        <v>20.2</v>
      </c>
      <c r="I9" s="240">
        <f t="shared" si="0"/>
        <v>19.600000000000001</v>
      </c>
      <c r="J9" s="240">
        <f t="shared" si="0"/>
        <v>18.8</v>
      </c>
      <c r="K9" s="236">
        <v>131.12290733145167</v>
      </c>
      <c r="L9" s="31"/>
      <c r="M9" s="2" t="s">
        <v>6</v>
      </c>
      <c r="N9" s="66">
        <v>0.96599999999999997</v>
      </c>
      <c r="O9" s="264">
        <f t="shared" si="1"/>
        <v>2.1500159136788638E-3</v>
      </c>
      <c r="P9" s="264">
        <v>0.16699999999999998</v>
      </c>
      <c r="Q9" s="96">
        <v>18873</v>
      </c>
      <c r="R9" s="168">
        <f t="shared" si="2"/>
        <v>1572.75</v>
      </c>
      <c r="T9" s="2" t="s">
        <v>6</v>
      </c>
      <c r="U9" s="240">
        <v>2.6272622321613586</v>
      </c>
      <c r="V9" s="240">
        <v>2.7095186949752339</v>
      </c>
      <c r="W9" s="240">
        <v>2.6129744944939235</v>
      </c>
      <c r="X9" s="240">
        <v>2.7624456296071735</v>
      </c>
      <c r="Y9" s="245">
        <v>2.7868250027586807</v>
      </c>
      <c r="Z9" s="13">
        <v>2.6499184738768387</v>
      </c>
      <c r="AA9" s="9">
        <v>1.9195832109188246E-3</v>
      </c>
      <c r="AB9" s="128">
        <v>3.0051552066353326</v>
      </c>
      <c r="AC9" s="365" t="s">
        <v>38</v>
      </c>
      <c r="AD9" s="366"/>
      <c r="AE9" s="7"/>
      <c r="AF9" s="22"/>
      <c r="AG9" s="256">
        <v>-1051.7089419480601</v>
      </c>
      <c r="AH9" s="248">
        <v>-987.78272979497604</v>
      </c>
      <c r="AI9" s="248">
        <v>-923.85651764189618</v>
      </c>
      <c r="AJ9" s="248">
        <v>-859.93030548881597</v>
      </c>
      <c r="AK9" s="248">
        <v>-796.004093335736</v>
      </c>
      <c r="AL9" s="248">
        <v>-732.07788118265603</v>
      </c>
      <c r="AM9" s="323">
        <f>AL9-(AK9/12)</f>
        <v>-665.74420673801137</v>
      </c>
      <c r="AN9" s="323">
        <f>AM9-(AK9/12)</f>
        <v>-599.41053229336671</v>
      </c>
      <c r="AO9" s="324">
        <f>AN9-(AK9/12)</f>
        <v>-533.07685784872206</v>
      </c>
      <c r="AP9" s="257">
        <f>SUM(AG9:AL9)</f>
        <v>-5351.3604693921397</v>
      </c>
      <c r="AS9" s="374" t="s">
        <v>146</v>
      </c>
      <c r="AT9" s="374"/>
      <c r="AU9" s="308"/>
      <c r="AV9" s="309"/>
      <c r="AW9" s="309"/>
      <c r="AX9" s="309"/>
      <c r="AY9" s="309"/>
      <c r="AZ9" s="309"/>
    </row>
    <row r="10" spans="2:56" x14ac:dyDescent="0.35">
      <c r="B10" s="2" t="s">
        <v>7</v>
      </c>
      <c r="C10" s="27">
        <v>2.4E-2</v>
      </c>
      <c r="D10" s="240">
        <f t="shared" si="3"/>
        <v>96</v>
      </c>
      <c r="E10" s="240">
        <f t="shared" si="4"/>
        <v>261.60000000000002</v>
      </c>
      <c r="F10" s="240">
        <f t="shared" si="0"/>
        <v>252</v>
      </c>
      <c r="G10" s="240">
        <f t="shared" si="0"/>
        <v>247.20000000000002</v>
      </c>
      <c r="H10" s="240">
        <f t="shared" si="0"/>
        <v>242.4</v>
      </c>
      <c r="I10" s="240">
        <f t="shared" si="0"/>
        <v>235.20000000000002</v>
      </c>
      <c r="J10" s="240">
        <f t="shared" si="0"/>
        <v>225.6</v>
      </c>
      <c r="K10" s="236">
        <v>1561.6344733929345</v>
      </c>
      <c r="L10" s="31"/>
      <c r="M10" s="2" t="s">
        <v>7</v>
      </c>
      <c r="N10" s="66">
        <v>10.901</v>
      </c>
      <c r="O10" s="264">
        <f t="shared" si="1"/>
        <v>2.4262239622166972E-2</v>
      </c>
      <c r="P10" s="264">
        <v>0.11990897771</v>
      </c>
      <c r="Q10" s="96">
        <v>13656</v>
      </c>
      <c r="R10" s="168">
        <f t="shared" si="2"/>
        <v>1138</v>
      </c>
      <c r="T10" s="2" t="s">
        <v>7</v>
      </c>
      <c r="U10" s="240">
        <v>34.227550474618134</v>
      </c>
      <c r="V10" s="240">
        <v>35.989486951304031</v>
      </c>
      <c r="W10" s="240">
        <v>34.755655474665303</v>
      </c>
      <c r="X10" s="240">
        <v>34.172544848669858</v>
      </c>
      <c r="Y10" s="245">
        <v>33.093668118740069</v>
      </c>
      <c r="Z10" s="13">
        <v>34.990897633529158</v>
      </c>
      <c r="AA10" s="9">
        <v>2.5347172109047907E-2</v>
      </c>
      <c r="AB10" s="128">
        <v>3.4131941130905696</v>
      </c>
      <c r="AC10" s="365" t="s">
        <v>223</v>
      </c>
      <c r="AD10" s="366"/>
      <c r="AE10" s="1"/>
      <c r="AF10" s="24"/>
      <c r="AG10" s="319">
        <f>IF(AG4=0,AG7,AG7+AG9)</f>
        <v>381.55242758848505</v>
      </c>
      <c r="AH10" s="320">
        <f>AH7+AH9+AG10</f>
        <v>284.05869549997414</v>
      </c>
      <c r="AI10" s="320">
        <f>AH10+AI7+AI9</f>
        <v>275.77680825991695</v>
      </c>
      <c r="AJ10" s="320">
        <f>AJ7+AJ9+AI10</f>
        <v>170.82224986366725</v>
      </c>
      <c r="AK10" s="320">
        <f>AK7+AK9+AJ10</f>
        <v>67.028976103144146</v>
      </c>
      <c r="AL10" s="320">
        <f>AL7+AL9+AK10</f>
        <v>-35.603013021652373</v>
      </c>
      <c r="AM10" s="320">
        <f t="shared" ref="AM10:AO10" si="7">AM7+AM9+AL10</f>
        <v>-32.347219759663744</v>
      </c>
      <c r="AN10" s="320">
        <f t="shared" si="7"/>
        <v>-23.757752053030458</v>
      </c>
      <c r="AO10" s="321">
        <f t="shared" si="7"/>
        <v>-4.8346099017525148</v>
      </c>
      <c r="AP10" s="60"/>
      <c r="AS10" s="1"/>
      <c r="AT10" s="44" t="s">
        <v>147</v>
      </c>
      <c r="AU10" s="310">
        <f>VLOOKUP(Dashboard!$G$43,$T$4:$AB$31,9,FALSE)*AU8</f>
        <v>184.25903430508899</v>
      </c>
      <c r="AV10" s="305">
        <f>VLOOKUP(Dashboard!$G$43,$T$4:$AB$31,9,FALSE)*AV8</f>
        <v>184.25903430508899</v>
      </c>
      <c r="AW10" s="305">
        <f>VLOOKUP(Dashboard!$G$43,$T$4:$AB$31,9,FALSE)*AW8</f>
        <v>224.31534611054309</v>
      </c>
      <c r="AX10" s="305">
        <f>VLOOKUP(Dashboard!$G$43,$T$4:$AB$31,9,FALSE)*AX8</f>
        <v>268.37728909654265</v>
      </c>
      <c r="AY10" s="305">
        <f>VLOOKUP(Dashboard!$G$43,$T$4:$AB$31,9,FALSE)*AY8</f>
        <v>288.40544499926972</v>
      </c>
      <c r="AZ10" s="305">
        <f>VLOOKUP(Dashboard!$G$43,$T$4:$AB$31,9,FALSE)*AZ8</f>
        <v>304.42796972145135</v>
      </c>
      <c r="BC10" s="300" t="s">
        <v>148</v>
      </c>
      <c r="BD10" s="12" t="s">
        <v>221</v>
      </c>
    </row>
    <row r="11" spans="2:56" x14ac:dyDescent="0.35">
      <c r="B11" s="2" t="s">
        <v>8</v>
      </c>
      <c r="C11" s="27">
        <v>5.0000000000000001E-3</v>
      </c>
      <c r="D11" s="240">
        <f t="shared" si="3"/>
        <v>20</v>
      </c>
      <c r="E11" s="240">
        <f t="shared" si="4"/>
        <v>54.5</v>
      </c>
      <c r="F11" s="240">
        <f t="shared" si="0"/>
        <v>52.5</v>
      </c>
      <c r="G11" s="240">
        <f t="shared" si="0"/>
        <v>51.5</v>
      </c>
      <c r="H11" s="240">
        <f t="shared" si="0"/>
        <v>50.5</v>
      </c>
      <c r="I11" s="240">
        <f t="shared" si="0"/>
        <v>49</v>
      </c>
      <c r="J11" s="240">
        <f t="shared" si="0"/>
        <v>47</v>
      </c>
      <c r="K11" s="236">
        <v>325.01551244357609</v>
      </c>
      <c r="L11" s="31"/>
      <c r="M11" s="2" t="s">
        <v>8</v>
      </c>
      <c r="N11" s="66">
        <v>5.9610000000000003</v>
      </c>
      <c r="O11" s="264">
        <f t="shared" si="1"/>
        <v>1.3267334225092867E-2</v>
      </c>
      <c r="P11" s="264">
        <v>0.17945429998000001</v>
      </c>
      <c r="Q11" s="96">
        <v>33903</v>
      </c>
      <c r="R11" s="168">
        <f t="shared" si="2"/>
        <v>2825.25</v>
      </c>
      <c r="T11" s="2" t="s">
        <v>8</v>
      </c>
      <c r="U11" s="240">
        <v>16.520695947842931</v>
      </c>
      <c r="V11" s="240">
        <v>16.336620176722658</v>
      </c>
      <c r="W11" s="240">
        <v>16.550662766106495</v>
      </c>
      <c r="X11" s="240">
        <v>15.901044782012056</v>
      </c>
      <c r="Y11" s="245">
        <v>14.488589250845035</v>
      </c>
      <c r="Z11" s="13">
        <v>16.469326296890696</v>
      </c>
      <c r="AA11" s="9">
        <v>1.1930269767282139E-2</v>
      </c>
      <c r="AB11" s="128">
        <v>2.58575687310802</v>
      </c>
      <c r="AI11" s="137"/>
      <c r="AJ11" s="137"/>
      <c r="AS11" s="364" t="s">
        <v>190</v>
      </c>
      <c r="AT11" s="364"/>
      <c r="AU11" s="46"/>
      <c r="BB11" t="s">
        <v>220</v>
      </c>
      <c r="BC11" t="s">
        <v>34</v>
      </c>
      <c r="BD11" s="301">
        <v>10</v>
      </c>
    </row>
    <row r="12" spans="2:56" x14ac:dyDescent="0.35">
      <c r="B12" s="2" t="s">
        <v>9</v>
      </c>
      <c r="C12" s="27">
        <v>2.8999999999999998E-3</v>
      </c>
      <c r="D12" s="240">
        <f t="shared" si="3"/>
        <v>11.6</v>
      </c>
      <c r="E12" s="240">
        <f t="shared" si="4"/>
        <v>31.61</v>
      </c>
      <c r="F12" s="240">
        <f t="shared" si="0"/>
        <v>30.45</v>
      </c>
      <c r="G12" s="240">
        <f t="shared" si="0"/>
        <v>29.869999999999997</v>
      </c>
      <c r="H12" s="240">
        <f t="shared" si="0"/>
        <v>29.29</v>
      </c>
      <c r="I12" s="240">
        <f t="shared" si="0"/>
        <v>28.419999999999998</v>
      </c>
      <c r="J12" s="240">
        <f t="shared" si="0"/>
        <v>27.259999999999998</v>
      </c>
      <c r="K12" s="236">
        <v>186.2445707781124</v>
      </c>
      <c r="L12" s="31"/>
      <c r="M12" s="2" t="s">
        <v>9</v>
      </c>
      <c r="N12" s="66">
        <v>1.375</v>
      </c>
      <c r="O12" s="264">
        <f t="shared" si="1"/>
        <v>3.0603228584973477E-3</v>
      </c>
      <c r="P12" s="264">
        <v>0.24165556606999999</v>
      </c>
      <c r="Q12" s="96">
        <v>15128</v>
      </c>
      <c r="R12" s="168">
        <f t="shared" si="2"/>
        <v>1260.6666666666667</v>
      </c>
      <c r="T12" s="2" t="s">
        <v>9</v>
      </c>
      <c r="U12" s="240">
        <v>3.6338069988761985</v>
      </c>
      <c r="V12" s="240">
        <v>3.5116427323454742</v>
      </c>
      <c r="W12" s="240">
        <v>3.5122444031073705</v>
      </c>
      <c r="X12" s="240">
        <v>3.3419978739462932</v>
      </c>
      <c r="Y12" s="245">
        <v>3.3543796876173766</v>
      </c>
      <c r="Z12" s="13">
        <v>3.5525647114430146</v>
      </c>
      <c r="AA12" s="9">
        <v>2.5734541054811483E-3</v>
      </c>
      <c r="AB12" s="128">
        <v>2.5746480468606898</v>
      </c>
      <c r="AD12" s="327" t="s">
        <v>232</v>
      </c>
      <c r="AS12" t="s">
        <v>202</v>
      </c>
      <c r="AT12" s="93" t="s">
        <v>149</v>
      </c>
      <c r="AU12" s="311">
        <f t="shared" ref="AU12:AZ16" si="8">AU$8/$BD$11*$BD12</f>
        <v>10.902275999999999</v>
      </c>
      <c r="AV12" s="173">
        <f t="shared" si="8"/>
        <v>10.902275999999999</v>
      </c>
      <c r="AW12" s="173">
        <f t="shared" si="8"/>
        <v>13.272335999999999</v>
      </c>
      <c r="AX12" s="173">
        <f t="shared" si="8"/>
        <v>15.879402000000001</v>
      </c>
      <c r="AY12" s="173">
        <f t="shared" si="8"/>
        <v>17.064432</v>
      </c>
      <c r="AZ12" s="173">
        <f t="shared" si="8"/>
        <v>18.012456</v>
      </c>
      <c r="BB12" s="165" t="s">
        <v>202</v>
      </c>
      <c r="BC12" t="s">
        <v>149</v>
      </c>
      <c r="BD12" s="173">
        <v>2.3700600000000001</v>
      </c>
    </row>
    <row r="13" spans="2:56" x14ac:dyDescent="0.35">
      <c r="B13" s="2" t="s">
        <v>10</v>
      </c>
      <c r="C13" s="27">
        <v>8.8999999999999999E-3</v>
      </c>
      <c r="D13" s="240">
        <f t="shared" si="3"/>
        <v>35.6</v>
      </c>
      <c r="E13" s="240">
        <f t="shared" si="4"/>
        <v>97.01</v>
      </c>
      <c r="F13" s="240">
        <f t="shared" si="0"/>
        <v>93.45</v>
      </c>
      <c r="G13" s="240">
        <f t="shared" si="0"/>
        <v>91.67</v>
      </c>
      <c r="H13" s="240">
        <f t="shared" si="0"/>
        <v>89.89</v>
      </c>
      <c r="I13" s="240">
        <f t="shared" si="0"/>
        <v>87.22</v>
      </c>
      <c r="J13" s="240">
        <f t="shared" si="0"/>
        <v>83.66</v>
      </c>
      <c r="K13" s="236">
        <v>348.15822384567207</v>
      </c>
      <c r="L13" s="31"/>
      <c r="M13" s="2" t="s">
        <v>10</v>
      </c>
      <c r="N13" s="66">
        <v>5.6040000000000001</v>
      </c>
      <c r="O13" s="264">
        <f t="shared" si="1"/>
        <v>1.2472763126559374E-2</v>
      </c>
      <c r="P13" s="264">
        <v>0.15803055314</v>
      </c>
      <c r="Q13" s="96">
        <v>27346</v>
      </c>
      <c r="R13" s="168">
        <f t="shared" si="2"/>
        <v>2278.8333333333335</v>
      </c>
      <c r="T13" s="2" t="s">
        <v>10</v>
      </c>
      <c r="U13" s="240">
        <v>16.577397366389313</v>
      </c>
      <c r="V13" s="240">
        <v>15.936867332736348</v>
      </c>
      <c r="W13" s="240">
        <v>16.143287359855627</v>
      </c>
      <c r="X13" s="240">
        <v>15.631002700888974</v>
      </c>
      <c r="Y13" s="245">
        <v>14.781861343725593</v>
      </c>
      <c r="Z13" s="13">
        <v>16.219184019660428</v>
      </c>
      <c r="AA13" s="9">
        <v>1.1749068375448476E-2</v>
      </c>
      <c r="AB13" s="128">
        <v>2.6516565857382375</v>
      </c>
      <c r="AD13" t="s">
        <v>226</v>
      </c>
      <c r="AE13">
        <f>Dashboard!C3</f>
        <v>2028</v>
      </c>
      <c r="AS13" t="s">
        <v>150</v>
      </c>
      <c r="AT13" t="s">
        <v>149</v>
      </c>
      <c r="AU13" s="311">
        <f t="shared" si="8"/>
        <v>13.157195999999997</v>
      </c>
      <c r="AV13" s="173">
        <f t="shared" si="8"/>
        <v>13.157195999999997</v>
      </c>
      <c r="AW13" s="173">
        <f t="shared" si="8"/>
        <v>16.017455999999999</v>
      </c>
      <c r="AX13" s="173">
        <f t="shared" si="8"/>
        <v>19.163741999999999</v>
      </c>
      <c r="AY13" s="173">
        <f t="shared" si="8"/>
        <v>20.593871999999998</v>
      </c>
      <c r="AZ13" s="173">
        <f t="shared" si="8"/>
        <v>21.737975999999996</v>
      </c>
      <c r="BB13" t="s">
        <v>150</v>
      </c>
      <c r="BC13" t="s">
        <v>149</v>
      </c>
      <c r="BD13" s="173">
        <v>2.8602599999999998</v>
      </c>
    </row>
    <row r="14" spans="2:56" x14ac:dyDescent="0.35">
      <c r="B14" s="2" t="s">
        <v>11</v>
      </c>
      <c r="C14" s="27">
        <v>0.1119</v>
      </c>
      <c r="D14" s="240">
        <f t="shared" si="3"/>
        <v>447.6</v>
      </c>
      <c r="E14" s="240">
        <f t="shared" si="4"/>
        <v>1219.71</v>
      </c>
      <c r="F14" s="240">
        <f t="shared" si="0"/>
        <v>1174.95</v>
      </c>
      <c r="G14" s="240">
        <f t="shared" si="0"/>
        <v>1152.57</v>
      </c>
      <c r="H14" s="240">
        <f t="shared" si="0"/>
        <v>1130.19</v>
      </c>
      <c r="I14" s="240">
        <f t="shared" si="0"/>
        <v>1096.6199999999999</v>
      </c>
      <c r="J14" s="240">
        <f t="shared" si="0"/>
        <v>1051.8599999999999</v>
      </c>
      <c r="K14" s="236">
        <v>7276.8251971291957</v>
      </c>
      <c r="L14" s="31"/>
      <c r="M14" s="2" t="s">
        <v>11</v>
      </c>
      <c r="N14" s="66">
        <v>68.466999999999999</v>
      </c>
      <c r="O14" s="264">
        <f t="shared" si="1"/>
        <v>0.15238627283835485</v>
      </c>
      <c r="P14" s="264">
        <v>0.20384859068</v>
      </c>
      <c r="Q14" s="96">
        <v>24179</v>
      </c>
      <c r="R14" s="168">
        <f t="shared" si="2"/>
        <v>2014.9166666666667</v>
      </c>
      <c r="T14" s="2" t="s">
        <v>11</v>
      </c>
      <c r="U14" s="240">
        <v>219.62311578104018</v>
      </c>
      <c r="V14" s="240">
        <v>217.76920985099133</v>
      </c>
      <c r="W14" s="240">
        <v>209.17991372516875</v>
      </c>
      <c r="X14" s="240">
        <v>204.99061761095501</v>
      </c>
      <c r="Y14" s="245">
        <v>183.67282760042175</v>
      </c>
      <c r="Z14" s="13">
        <v>215.52407978573342</v>
      </c>
      <c r="AA14" s="9">
        <v>0.15612420124765375</v>
      </c>
      <c r="AB14" s="128">
        <v>2.991688444787179</v>
      </c>
      <c r="AD14" t="s">
        <v>227</v>
      </c>
      <c r="AE14">
        <f>Dashboard!C5</f>
        <v>48</v>
      </c>
      <c r="AF14" t="s">
        <v>228</v>
      </c>
      <c r="AG14" t="str">
        <f>Dashboard!E5</f>
        <v>Veyt MSR changes + 2028 start</v>
      </c>
      <c r="AS14" t="s">
        <v>151</v>
      </c>
      <c r="AT14" t="s">
        <v>149</v>
      </c>
      <c r="AU14" s="311">
        <f t="shared" si="8"/>
        <v>12.714077999999997</v>
      </c>
      <c r="AV14" s="173">
        <f t="shared" si="8"/>
        <v>12.714077999999997</v>
      </c>
      <c r="AW14" s="173">
        <f t="shared" si="8"/>
        <v>15.478007999999997</v>
      </c>
      <c r="AX14" s="173">
        <f t="shared" si="8"/>
        <v>18.518331</v>
      </c>
      <c r="AY14" s="173">
        <f t="shared" si="8"/>
        <v>19.900295999999997</v>
      </c>
      <c r="AZ14" s="173">
        <f t="shared" si="8"/>
        <v>21.005867999999996</v>
      </c>
      <c r="BB14" t="s">
        <v>151</v>
      </c>
      <c r="BC14" t="s">
        <v>149</v>
      </c>
      <c r="BD14" s="173">
        <v>2.7639299999999998</v>
      </c>
    </row>
    <row r="15" spans="2:56" x14ac:dyDescent="0.35">
      <c r="B15" s="2" t="s">
        <v>12</v>
      </c>
      <c r="C15" s="27">
        <v>8.1799999999999998E-2</v>
      </c>
      <c r="D15" s="240">
        <f t="shared" si="3"/>
        <v>327.2</v>
      </c>
      <c r="E15" s="240">
        <f t="shared" si="4"/>
        <v>891.62</v>
      </c>
      <c r="F15" s="240">
        <f t="shared" si="0"/>
        <v>858.9</v>
      </c>
      <c r="G15" s="240">
        <f t="shared" si="0"/>
        <v>842.54</v>
      </c>
      <c r="H15" s="240">
        <f t="shared" si="0"/>
        <v>826.18</v>
      </c>
      <c r="I15" s="240">
        <f t="shared" si="0"/>
        <v>801.64</v>
      </c>
      <c r="J15" s="240">
        <f t="shared" si="0"/>
        <v>768.92</v>
      </c>
      <c r="K15" s="236">
        <v>5318.1740786186901</v>
      </c>
      <c r="L15" s="31"/>
      <c r="M15" s="2" t="s">
        <v>12</v>
      </c>
      <c r="N15" s="66">
        <v>83.456000000000003</v>
      </c>
      <c r="O15" s="264">
        <f t="shared" si="1"/>
        <v>0.18574713053000338</v>
      </c>
      <c r="P15" s="264">
        <v>0.21324411265999998</v>
      </c>
      <c r="Q15" s="96">
        <v>26274</v>
      </c>
      <c r="R15" s="168">
        <f t="shared" si="2"/>
        <v>2189.5</v>
      </c>
      <c r="T15" s="2" t="s">
        <v>12</v>
      </c>
      <c r="U15" s="240">
        <v>330.17030998463247</v>
      </c>
      <c r="V15" s="240">
        <v>330.74140601031206</v>
      </c>
      <c r="W15" s="240">
        <v>322.06431845606119</v>
      </c>
      <c r="X15" s="240">
        <v>324.55265156206121</v>
      </c>
      <c r="Y15" s="245">
        <v>298.26538745372153</v>
      </c>
      <c r="Z15" s="13">
        <v>327.65867815033522</v>
      </c>
      <c r="AA15" s="9">
        <v>0.23735375397004421</v>
      </c>
      <c r="AB15" s="128">
        <v>3.6829819678145532</v>
      </c>
      <c r="AD15" t="str">
        <f>Dashboard!B9</f>
        <v>Steady increase</v>
      </c>
      <c r="AE15" s="326">
        <f>Dashboard!E9</f>
        <v>0.2</v>
      </c>
      <c r="AS15" t="s">
        <v>152</v>
      </c>
      <c r="AT15" t="s">
        <v>153</v>
      </c>
      <c r="AU15" s="311">
        <f t="shared" si="8"/>
        <v>0.92901599999256779</v>
      </c>
      <c r="AV15" s="173">
        <f t="shared" si="8"/>
        <v>0.92901599999256779</v>
      </c>
      <c r="AW15" s="173">
        <f t="shared" si="8"/>
        <v>1.1309759999909521</v>
      </c>
      <c r="AX15" s="173">
        <f t="shared" si="8"/>
        <v>1.3531319999891749</v>
      </c>
      <c r="AY15" s="173">
        <f t="shared" si="8"/>
        <v>1.4541119999883672</v>
      </c>
      <c r="AZ15" s="173">
        <f t="shared" si="8"/>
        <v>1.5348959999877207</v>
      </c>
      <c r="BB15" t="s">
        <v>152</v>
      </c>
      <c r="BC15" t="s">
        <v>153</v>
      </c>
      <c r="BD15" s="172">
        <v>0.20195999999838432</v>
      </c>
    </row>
    <row r="16" spans="2:56" x14ac:dyDescent="0.35">
      <c r="B16" s="2" t="s">
        <v>13</v>
      </c>
      <c r="C16" s="27">
        <v>5.5199999999999999E-2</v>
      </c>
      <c r="D16" s="240">
        <f t="shared" si="3"/>
        <v>220.79999999999998</v>
      </c>
      <c r="E16" s="240">
        <f t="shared" si="4"/>
        <v>601.67999999999995</v>
      </c>
      <c r="F16" s="240">
        <f t="shared" si="0"/>
        <v>579.6</v>
      </c>
      <c r="G16" s="240">
        <f t="shared" si="0"/>
        <v>568.55999999999995</v>
      </c>
      <c r="H16" s="240">
        <f t="shared" si="0"/>
        <v>557.52</v>
      </c>
      <c r="I16" s="240">
        <f t="shared" si="0"/>
        <v>540.96</v>
      </c>
      <c r="J16" s="240">
        <f t="shared" si="0"/>
        <v>518.88</v>
      </c>
      <c r="K16" s="236">
        <v>3586.8436081367622</v>
      </c>
      <c r="L16" s="31"/>
      <c r="M16" s="2" t="s">
        <v>13</v>
      </c>
      <c r="N16" s="66">
        <v>10.401</v>
      </c>
      <c r="O16" s="264">
        <f t="shared" si="1"/>
        <v>2.3149394946349756E-2</v>
      </c>
      <c r="P16" s="264">
        <v>0.26055856710000003</v>
      </c>
      <c r="Q16" s="96">
        <v>10050</v>
      </c>
      <c r="R16" s="168">
        <f t="shared" si="2"/>
        <v>837.5</v>
      </c>
      <c r="T16" s="2" t="s">
        <v>13</v>
      </c>
      <c r="U16" s="240">
        <v>22.661469839738039</v>
      </c>
      <c r="V16" s="240">
        <v>22.616110800397564</v>
      </c>
      <c r="W16" s="240">
        <v>21.806435872885054</v>
      </c>
      <c r="X16" s="240">
        <v>22.377599105502306</v>
      </c>
      <c r="Y16" s="245">
        <v>21.375923597411472</v>
      </c>
      <c r="Z16" s="13">
        <v>22.361338837673554</v>
      </c>
      <c r="AA16" s="9">
        <v>1.6198404226250258E-2</v>
      </c>
      <c r="AB16" s="128">
        <v>2.1388596072212533</v>
      </c>
      <c r="AD16" t="str">
        <f>Dashboard!B10</f>
        <v>Exponential</v>
      </c>
      <c r="AE16" s="326">
        <f>Dashboard!E10</f>
        <v>0.3</v>
      </c>
      <c r="AS16" t="s">
        <v>154</v>
      </c>
      <c r="AT16" t="s">
        <v>153</v>
      </c>
      <c r="AU16" s="311">
        <f t="shared" si="8"/>
        <v>1.6278479999869768</v>
      </c>
      <c r="AV16" s="173">
        <f t="shared" si="8"/>
        <v>1.6278479999869768</v>
      </c>
      <c r="AW16" s="173">
        <f t="shared" si="8"/>
        <v>1.9817279999841457</v>
      </c>
      <c r="AX16" s="173">
        <f t="shared" si="8"/>
        <v>2.3709959999810315</v>
      </c>
      <c r="AY16" s="173">
        <f t="shared" si="8"/>
        <v>2.5479359999796163</v>
      </c>
      <c r="AZ16" s="173">
        <f t="shared" si="8"/>
        <v>2.6894879999784838</v>
      </c>
      <c r="BB16" t="s">
        <v>154</v>
      </c>
      <c r="BC16" t="s">
        <v>153</v>
      </c>
      <c r="BD16" s="172">
        <v>0.3538799999971689</v>
      </c>
    </row>
    <row r="17" spans="2:34" x14ac:dyDescent="0.35">
      <c r="B17" s="2" t="s">
        <v>14</v>
      </c>
      <c r="C17" s="27">
        <v>4.3299999999999998E-2</v>
      </c>
      <c r="D17" s="240">
        <f t="shared" si="3"/>
        <v>173.2</v>
      </c>
      <c r="E17" s="240">
        <f t="shared" si="4"/>
        <v>471.96999999999997</v>
      </c>
      <c r="F17" s="240">
        <f t="shared" si="0"/>
        <v>454.65</v>
      </c>
      <c r="G17" s="240">
        <f t="shared" si="0"/>
        <v>445.99</v>
      </c>
      <c r="H17" s="240">
        <f t="shared" si="0"/>
        <v>437.33</v>
      </c>
      <c r="I17" s="240">
        <f t="shared" si="0"/>
        <v>424.34</v>
      </c>
      <c r="J17" s="240">
        <f t="shared" si="0"/>
        <v>407.02</v>
      </c>
      <c r="K17" s="236">
        <v>2815.9681741310483</v>
      </c>
      <c r="L17" s="31"/>
      <c r="M17" s="2" t="s">
        <v>14</v>
      </c>
      <c r="N17" s="66">
        <v>9.5850000000000009</v>
      </c>
      <c r="O17" s="264">
        <f t="shared" si="1"/>
        <v>2.1333232435416058E-2</v>
      </c>
      <c r="P17" s="264">
        <v>0.19724512416000001</v>
      </c>
      <c r="Q17" s="96">
        <v>7423</v>
      </c>
      <c r="R17" s="168">
        <f t="shared" si="2"/>
        <v>618.58333333333337</v>
      </c>
      <c r="T17" s="2" t="s">
        <v>14</v>
      </c>
      <c r="U17" s="240">
        <v>24.686753221273289</v>
      </c>
      <c r="V17" s="240">
        <v>25.620249021483108</v>
      </c>
      <c r="W17" s="240">
        <v>25.992848693129726</v>
      </c>
      <c r="X17" s="240">
        <v>26.366498290302374</v>
      </c>
      <c r="Y17" s="245">
        <v>24.979368648517738</v>
      </c>
      <c r="Z17" s="13">
        <v>25.433283645295376</v>
      </c>
      <c r="AA17" s="9">
        <v>1.8423700489403966E-2</v>
      </c>
      <c r="AB17" s="128">
        <v>2.865425529204241</v>
      </c>
      <c r="AD17" t="s">
        <v>229</v>
      </c>
      <c r="AE17">
        <f>Dashboard!E14</f>
        <v>275</v>
      </c>
    </row>
    <row r="18" spans="2:34" x14ac:dyDescent="0.35">
      <c r="B18" s="2" t="s">
        <v>15</v>
      </c>
      <c r="C18" s="27">
        <v>1.0200000000000001E-2</v>
      </c>
      <c r="D18" s="240">
        <f t="shared" si="3"/>
        <v>40.800000000000004</v>
      </c>
      <c r="E18" s="240">
        <f t="shared" si="4"/>
        <v>111.18</v>
      </c>
      <c r="F18" s="240">
        <f t="shared" si="0"/>
        <v>107.10000000000001</v>
      </c>
      <c r="G18" s="240">
        <f t="shared" si="0"/>
        <v>105.06</v>
      </c>
      <c r="H18" s="240">
        <f t="shared" si="0"/>
        <v>103.02000000000001</v>
      </c>
      <c r="I18" s="240">
        <f t="shared" si="0"/>
        <v>99.960000000000008</v>
      </c>
      <c r="J18" s="240">
        <f t="shared" si="0"/>
        <v>95.88000000000001</v>
      </c>
      <c r="K18" s="236">
        <v>663.44021523630329</v>
      </c>
      <c r="L18" s="31"/>
      <c r="M18" s="2" t="s">
        <v>15</v>
      </c>
      <c r="N18" s="66">
        <v>5.3520000000000003</v>
      </c>
      <c r="O18" s="264">
        <f t="shared" si="1"/>
        <v>1.1911889409947496E-2</v>
      </c>
      <c r="P18" s="264">
        <v>0.19194123789999998</v>
      </c>
      <c r="Q18" s="96">
        <v>30689</v>
      </c>
      <c r="R18" s="168">
        <f t="shared" si="2"/>
        <v>2557.4166666666665</v>
      </c>
      <c r="T18" s="2" t="s">
        <v>15</v>
      </c>
      <c r="U18" s="240">
        <v>21.251030332194077</v>
      </c>
      <c r="V18" s="240">
        <v>20.774845209794947</v>
      </c>
      <c r="W18" s="240">
        <v>21.610991827572221</v>
      </c>
      <c r="X18" s="240">
        <v>21.34972432105457</v>
      </c>
      <c r="Y18" s="245">
        <v>19.927267616103762</v>
      </c>
      <c r="Z18" s="13">
        <v>21.21228912318708</v>
      </c>
      <c r="AA18" s="9">
        <v>1.5366040301781153E-2</v>
      </c>
      <c r="AB18" s="128">
        <v>4.0429252135031923</v>
      </c>
      <c r="AD18" t="s">
        <v>79</v>
      </c>
      <c r="AE18" s="326">
        <f>Dashboard!E16</f>
        <v>0.3</v>
      </c>
      <c r="AF18" s="326" t="s">
        <v>231</v>
      </c>
      <c r="AG18">
        <f>Dashboard!H16</f>
        <v>40</v>
      </c>
      <c r="AH18" t="s">
        <v>230</v>
      </c>
    </row>
    <row r="19" spans="2:34" x14ac:dyDescent="0.35">
      <c r="B19" s="2" t="s">
        <v>16</v>
      </c>
      <c r="C19" s="27">
        <v>0.1081</v>
      </c>
      <c r="D19" s="240">
        <f t="shared" si="3"/>
        <v>432.40000000000003</v>
      </c>
      <c r="E19" s="240">
        <f t="shared" si="4"/>
        <v>1178.29</v>
      </c>
      <c r="F19" s="240">
        <f t="shared" si="0"/>
        <v>1135.05</v>
      </c>
      <c r="G19" s="240">
        <f t="shared" si="0"/>
        <v>1113.43</v>
      </c>
      <c r="H19" s="240">
        <f t="shared" si="0"/>
        <v>1091.81</v>
      </c>
      <c r="I19" s="240">
        <f t="shared" si="0"/>
        <v>1059.3800000000001</v>
      </c>
      <c r="J19" s="240">
        <f t="shared" si="0"/>
        <v>1016.14</v>
      </c>
      <c r="K19" s="236">
        <v>7023.9709244470205</v>
      </c>
      <c r="L19" s="31"/>
      <c r="M19" s="2" t="s">
        <v>16</v>
      </c>
      <c r="N19" s="66">
        <v>58.970999999999997</v>
      </c>
      <c r="O19" s="264">
        <f t="shared" si="1"/>
        <v>0.13125112675523426</v>
      </c>
      <c r="P19" s="264">
        <v>0.22806247284</v>
      </c>
      <c r="Q19" s="96">
        <v>19819</v>
      </c>
      <c r="R19" s="168">
        <f t="shared" si="2"/>
        <v>1651.5833333333333</v>
      </c>
      <c r="T19" s="2" t="s">
        <v>16</v>
      </c>
      <c r="U19" s="240">
        <v>184.44927094098637</v>
      </c>
      <c r="V19" s="240">
        <v>178.66950830403857</v>
      </c>
      <c r="W19" s="240">
        <v>182.99573984498272</v>
      </c>
      <c r="X19" s="240">
        <v>178.97030089748642</v>
      </c>
      <c r="Y19" s="245">
        <v>158.11666899761968</v>
      </c>
      <c r="Z19" s="13">
        <v>182.03817303000255</v>
      </c>
      <c r="AA19" s="9">
        <v>0.13186723446004769</v>
      </c>
      <c r="AB19" s="128">
        <v>3.146792616087255</v>
      </c>
      <c r="AD19" t="s">
        <v>224</v>
      </c>
      <c r="AE19" s="326">
        <f>Dashboard!E17</f>
        <v>0.3</v>
      </c>
    </row>
    <row r="20" spans="2:34" x14ac:dyDescent="0.35">
      <c r="B20" s="2" t="s">
        <v>17</v>
      </c>
      <c r="C20" s="27">
        <v>7.1000000000000004E-3</v>
      </c>
      <c r="D20" s="240">
        <f t="shared" si="3"/>
        <v>28.400000000000002</v>
      </c>
      <c r="E20" s="240">
        <f t="shared" si="4"/>
        <v>77.39</v>
      </c>
      <c r="F20" s="240">
        <f t="shared" si="0"/>
        <v>74.550000000000011</v>
      </c>
      <c r="G20" s="240">
        <f t="shared" si="0"/>
        <v>73.13000000000001</v>
      </c>
      <c r="H20" s="240">
        <f t="shared" si="0"/>
        <v>71.710000000000008</v>
      </c>
      <c r="I20" s="240">
        <f t="shared" si="0"/>
        <v>69.58</v>
      </c>
      <c r="J20" s="240">
        <f t="shared" si="0"/>
        <v>66.740000000000009</v>
      </c>
      <c r="K20" s="236">
        <v>463.67652837636416</v>
      </c>
      <c r="L20" s="31"/>
      <c r="M20" s="2" t="s">
        <v>17</v>
      </c>
      <c r="N20" s="66">
        <v>1.875</v>
      </c>
      <c r="O20" s="264">
        <f t="shared" si="1"/>
        <v>4.173167534314565E-3</v>
      </c>
      <c r="P20" s="264">
        <v>0.25608753518999999</v>
      </c>
      <c r="Q20" s="96">
        <v>11258</v>
      </c>
      <c r="R20" s="168">
        <f t="shared" si="2"/>
        <v>938.16666666666663</v>
      </c>
      <c r="T20" s="2" t="s">
        <v>17</v>
      </c>
      <c r="U20" s="240">
        <v>4.3829726948179424</v>
      </c>
      <c r="V20" s="240">
        <v>4.4743541369981239</v>
      </c>
      <c r="W20" s="240">
        <v>4.5313398025363814</v>
      </c>
      <c r="X20" s="240">
        <v>4.4297954243210764</v>
      </c>
      <c r="Y20" s="245">
        <v>4.2649027305201548</v>
      </c>
      <c r="Z20" s="13">
        <v>4.4628888781174831</v>
      </c>
      <c r="AA20" s="9">
        <v>3.2328868405137341E-3</v>
      </c>
      <c r="AB20" s="128">
        <v>2.2307750338979835</v>
      </c>
    </row>
    <row r="21" spans="2:34" x14ac:dyDescent="0.35">
      <c r="B21" s="2" t="s">
        <v>18</v>
      </c>
      <c r="C21" s="27">
        <v>1.0200000000000001E-2</v>
      </c>
      <c r="D21" s="240">
        <f t="shared" si="3"/>
        <v>40.800000000000004</v>
      </c>
      <c r="E21" s="240">
        <f t="shared" si="4"/>
        <v>111.18</v>
      </c>
      <c r="F21" s="240">
        <f t="shared" si="4"/>
        <v>107.10000000000001</v>
      </c>
      <c r="G21" s="240">
        <f t="shared" si="4"/>
        <v>105.06</v>
      </c>
      <c r="H21" s="240">
        <f t="shared" si="4"/>
        <v>103.02000000000001</v>
      </c>
      <c r="I21" s="240">
        <f t="shared" si="4"/>
        <v>99.960000000000008</v>
      </c>
      <c r="J21" s="240">
        <f t="shared" si="4"/>
        <v>95.88000000000001</v>
      </c>
      <c r="K21" s="236">
        <v>664.17136679680266</v>
      </c>
      <c r="L21" s="31"/>
      <c r="M21" s="2" t="s">
        <v>18</v>
      </c>
      <c r="N21" s="66">
        <v>2.8860000000000001</v>
      </c>
      <c r="O21" s="264">
        <f t="shared" si="1"/>
        <v>6.4233394688169793E-3</v>
      </c>
      <c r="P21" s="264">
        <v>0.24339710978999998</v>
      </c>
      <c r="Q21" s="96">
        <v>11284</v>
      </c>
      <c r="R21" s="168">
        <f t="shared" si="2"/>
        <v>940.33333333333337</v>
      </c>
      <c r="T21" s="2" t="s">
        <v>18</v>
      </c>
      <c r="U21" s="240">
        <v>7.4255851569335531</v>
      </c>
      <c r="V21" s="240">
        <v>7.6053696415408627</v>
      </c>
      <c r="W21" s="240">
        <v>7.3808365448019</v>
      </c>
      <c r="X21" s="240">
        <v>7.5031662455843273</v>
      </c>
      <c r="Y21" s="245">
        <v>7.2954223280711963</v>
      </c>
      <c r="Z21" s="13">
        <v>7.4705971144254377</v>
      </c>
      <c r="AA21" s="9">
        <v>5.4116505612376783E-3</v>
      </c>
      <c r="AB21" s="128">
        <v>2.7212002963261761</v>
      </c>
    </row>
    <row r="22" spans="2:34" x14ac:dyDescent="0.35">
      <c r="B22" s="2" t="s">
        <v>19</v>
      </c>
      <c r="C22" s="27">
        <v>1E-3</v>
      </c>
      <c r="D22" s="240">
        <f t="shared" si="3"/>
        <v>4</v>
      </c>
      <c r="E22" s="240">
        <f t="shared" si="4"/>
        <v>10.9</v>
      </c>
      <c r="F22" s="240">
        <f t="shared" si="4"/>
        <v>10.5</v>
      </c>
      <c r="G22" s="240">
        <f t="shared" si="4"/>
        <v>10.3</v>
      </c>
      <c r="H22" s="240">
        <f t="shared" si="4"/>
        <v>10.1</v>
      </c>
      <c r="I22" s="240">
        <f t="shared" si="4"/>
        <v>9.8000000000000007</v>
      </c>
      <c r="J22" s="240">
        <f t="shared" si="4"/>
        <v>9.4</v>
      </c>
      <c r="K22" s="236">
        <v>66.107509578594531</v>
      </c>
      <c r="L22" s="31"/>
      <c r="M22" s="2" t="s">
        <v>19</v>
      </c>
      <c r="N22" s="66">
        <v>0.66100000000000003</v>
      </c>
      <c r="O22" s="264">
        <f t="shared" si="1"/>
        <v>1.4711806614303615E-3</v>
      </c>
      <c r="P22" s="264">
        <v>0.214</v>
      </c>
      <c r="Q22" s="96">
        <v>47636</v>
      </c>
      <c r="R22" s="168">
        <f t="shared" si="2"/>
        <v>3969.6666666666665</v>
      </c>
      <c r="T22" s="2" t="s">
        <v>19</v>
      </c>
      <c r="U22" s="240">
        <v>7.464320093920354</v>
      </c>
      <c r="V22" s="240">
        <v>7.6642349076661898</v>
      </c>
      <c r="W22" s="240">
        <v>7.97313226892821</v>
      </c>
      <c r="X22" s="240">
        <v>8.1399617915716647</v>
      </c>
      <c r="Y22" s="245">
        <v>6.5453923614943728</v>
      </c>
      <c r="Z22" s="13">
        <v>7.7005624235049188</v>
      </c>
      <c r="AA22" s="9">
        <v>5.5782358923542642E-3</v>
      </c>
      <c r="AB22" s="128">
        <v>9.7687557759521084</v>
      </c>
    </row>
    <row r="23" spans="2:34" x14ac:dyDescent="0.35">
      <c r="B23" s="2" t="s">
        <v>20</v>
      </c>
      <c r="C23" s="27">
        <v>6.9999999999999999E-4</v>
      </c>
      <c r="D23" s="240">
        <f t="shared" si="3"/>
        <v>2.8</v>
      </c>
      <c r="E23" s="240">
        <f t="shared" si="4"/>
        <v>7.63</v>
      </c>
      <c r="F23" s="240">
        <f t="shared" si="4"/>
        <v>7.35</v>
      </c>
      <c r="G23" s="240">
        <f t="shared" si="4"/>
        <v>7.21</v>
      </c>
      <c r="H23" s="240">
        <f t="shared" si="4"/>
        <v>7.07</v>
      </c>
      <c r="I23" s="240">
        <f t="shared" si="4"/>
        <v>6.86</v>
      </c>
      <c r="J23" s="240">
        <f t="shared" si="4"/>
        <v>6.58</v>
      </c>
      <c r="K23" s="236">
        <v>45.5</v>
      </c>
      <c r="L23" s="31"/>
      <c r="M23" s="2" t="s">
        <v>20</v>
      </c>
      <c r="N23" s="66">
        <v>0.56299999999999994</v>
      </c>
      <c r="O23" s="264">
        <f t="shared" si="1"/>
        <v>1.2530631049701866E-3</v>
      </c>
      <c r="P23" s="264">
        <v>0.19817497984999999</v>
      </c>
      <c r="Q23" s="96">
        <v>18940</v>
      </c>
      <c r="R23" s="168">
        <f t="shared" si="2"/>
        <v>1578.3333333333333</v>
      </c>
      <c r="T23" s="2" t="s">
        <v>20</v>
      </c>
      <c r="U23" s="240">
        <v>0.73710588915604303</v>
      </c>
      <c r="V23" s="240">
        <v>0.74590078938134474</v>
      </c>
      <c r="W23" s="240">
        <v>0.78290348848081859</v>
      </c>
      <c r="X23" s="240">
        <v>0.82754379345085283</v>
      </c>
      <c r="Y23" s="245">
        <v>0.70904471458381191</v>
      </c>
      <c r="Z23" s="13">
        <v>0.75530338900606875</v>
      </c>
      <c r="AA23" s="9">
        <v>5.4713672098937393E-4</v>
      </c>
      <c r="AB23" s="128">
        <v>1.3103669524091552</v>
      </c>
    </row>
    <row r="24" spans="2:34" x14ac:dyDescent="0.35">
      <c r="B24" s="2" t="s">
        <v>21</v>
      </c>
      <c r="C24" s="27">
        <v>1.11E-2</v>
      </c>
      <c r="D24" s="240">
        <f t="shared" si="3"/>
        <v>44.4</v>
      </c>
      <c r="E24" s="240">
        <f t="shared" si="4"/>
        <v>120.99000000000001</v>
      </c>
      <c r="F24" s="240">
        <f t="shared" si="4"/>
        <v>116.55000000000001</v>
      </c>
      <c r="G24" s="240">
        <f t="shared" si="4"/>
        <v>114.33</v>
      </c>
      <c r="H24" s="240">
        <f t="shared" si="4"/>
        <v>112.11</v>
      </c>
      <c r="I24" s="240">
        <f t="shared" si="4"/>
        <v>108.78</v>
      </c>
      <c r="J24" s="240">
        <f t="shared" si="4"/>
        <v>104.34</v>
      </c>
      <c r="K24" s="236">
        <v>720.51722497306434</v>
      </c>
      <c r="L24" s="31"/>
      <c r="M24" s="2" t="s">
        <v>21</v>
      </c>
      <c r="N24" s="66">
        <v>17.943000000000001</v>
      </c>
      <c r="O24" s="264">
        <f t="shared" si="1"/>
        <v>3.9935544036376669E-2</v>
      </c>
      <c r="P24" s="264">
        <v>0.17047526973999999</v>
      </c>
      <c r="Q24" s="96">
        <v>29249</v>
      </c>
      <c r="R24" s="168">
        <f t="shared" si="2"/>
        <v>2437.4166666666665</v>
      </c>
      <c r="T24" s="2" t="s">
        <v>21</v>
      </c>
      <c r="U24" s="240">
        <v>57.890123421198226</v>
      </c>
      <c r="V24" s="240">
        <v>57.802434418441884</v>
      </c>
      <c r="W24" s="240">
        <v>57.247763525689848</v>
      </c>
      <c r="X24" s="240">
        <v>55.772141270500157</v>
      </c>
      <c r="Y24" s="245">
        <v>50.616624672972634</v>
      </c>
      <c r="Z24" s="13">
        <v>57.646773788443319</v>
      </c>
      <c r="AA24" s="9">
        <v>4.1758937197052141E-2</v>
      </c>
      <c r="AB24" s="128">
        <v>3.0314224070371951</v>
      </c>
    </row>
    <row r="25" spans="2:34" x14ac:dyDescent="0.35">
      <c r="B25" s="2" t="s">
        <v>22</v>
      </c>
      <c r="C25" s="27">
        <v>0.17599999999999999</v>
      </c>
      <c r="D25" s="240">
        <f t="shared" si="3"/>
        <v>704</v>
      </c>
      <c r="E25" s="240">
        <f t="shared" si="4"/>
        <v>1918.3999999999999</v>
      </c>
      <c r="F25" s="240">
        <f t="shared" si="4"/>
        <v>1848</v>
      </c>
      <c r="G25" s="240">
        <f t="shared" si="4"/>
        <v>1812.8</v>
      </c>
      <c r="H25" s="240">
        <f t="shared" si="4"/>
        <v>1777.6</v>
      </c>
      <c r="I25" s="240">
        <f t="shared" si="4"/>
        <v>1724.8</v>
      </c>
      <c r="J25" s="240">
        <f t="shared" si="4"/>
        <v>1654.3999999999999</v>
      </c>
      <c r="K25" s="236">
        <v>11439.026445645028</v>
      </c>
      <c r="L25" s="31"/>
      <c r="M25" s="2" t="s">
        <v>22</v>
      </c>
      <c r="N25" s="66">
        <v>36.621000000000002</v>
      </c>
      <c r="O25" s="264">
        <f t="shared" si="1"/>
        <v>8.1506969746204638E-2</v>
      </c>
      <c r="P25" s="264">
        <v>0.16320403733</v>
      </c>
      <c r="Q25" s="96">
        <v>10048</v>
      </c>
      <c r="R25" s="168">
        <f t="shared" si="2"/>
        <v>837.33333333333337</v>
      </c>
      <c r="T25" s="2" t="s">
        <v>22</v>
      </c>
      <c r="U25" s="240">
        <v>106.35515652345761</v>
      </c>
      <c r="V25" s="240">
        <v>114.43217377899619</v>
      </c>
      <c r="W25" s="240">
        <v>115.19875130687291</v>
      </c>
      <c r="X25" s="240">
        <v>114.22653206418471</v>
      </c>
      <c r="Y25" s="245">
        <v>110.71008175221044</v>
      </c>
      <c r="Z25" s="13">
        <v>111.99536053644222</v>
      </c>
      <c r="AA25" s="9">
        <v>8.1128689771362034E-2</v>
      </c>
      <c r="AB25" s="128">
        <v>3.2751602854073338</v>
      </c>
    </row>
    <row r="26" spans="2:34" x14ac:dyDescent="0.35">
      <c r="B26" s="2" t="s">
        <v>23</v>
      </c>
      <c r="C26" s="27">
        <v>1.8800000000000001E-2</v>
      </c>
      <c r="D26" s="240">
        <f t="shared" si="3"/>
        <v>75.2</v>
      </c>
      <c r="E26" s="240">
        <f t="shared" si="4"/>
        <v>204.92000000000002</v>
      </c>
      <c r="F26" s="240">
        <f t="shared" si="4"/>
        <v>197.4</v>
      </c>
      <c r="G26" s="240">
        <f t="shared" si="4"/>
        <v>193.64000000000001</v>
      </c>
      <c r="H26" s="240">
        <f t="shared" si="4"/>
        <v>189.88</v>
      </c>
      <c r="I26" s="240">
        <f t="shared" si="4"/>
        <v>184.24</v>
      </c>
      <c r="J26" s="240">
        <f t="shared" si="4"/>
        <v>176.72</v>
      </c>
      <c r="K26" s="236">
        <v>1223.1540173381704</v>
      </c>
      <c r="L26" s="31"/>
      <c r="M26" s="2" t="s">
        <v>23</v>
      </c>
      <c r="N26" s="66">
        <v>10.64</v>
      </c>
      <c r="O26" s="264">
        <f t="shared" si="1"/>
        <v>2.3681334701390389E-2</v>
      </c>
      <c r="P26" s="264">
        <v>0.20096599239999999</v>
      </c>
      <c r="Q26" s="96">
        <v>11824</v>
      </c>
      <c r="R26" s="168">
        <f t="shared" si="2"/>
        <v>985.33333333333337</v>
      </c>
      <c r="T26" s="2" t="s">
        <v>23</v>
      </c>
      <c r="U26" s="240">
        <v>21.492051213626262</v>
      </c>
      <c r="V26" s="240">
        <v>21.820342492856184</v>
      </c>
      <c r="W26" s="240">
        <v>22.167874453185096</v>
      </c>
      <c r="X26" s="240">
        <v>22.841696340688415</v>
      </c>
      <c r="Y26" s="245">
        <v>20.176011788134808</v>
      </c>
      <c r="Z26" s="13">
        <v>21.826756053222514</v>
      </c>
      <c r="AA26" s="9">
        <v>1.58111560342796E-2</v>
      </c>
      <c r="AB26" s="128">
        <v>2.0978264929779837</v>
      </c>
    </row>
    <row r="27" spans="2:34" x14ac:dyDescent="0.35">
      <c r="B27" s="2" t="s">
        <v>24</v>
      </c>
      <c r="C27" s="27">
        <v>9.2499999999999999E-2</v>
      </c>
      <c r="D27" s="240">
        <f t="shared" si="3"/>
        <v>370</v>
      </c>
      <c r="E27" s="240">
        <f t="shared" si="4"/>
        <v>1008.25</v>
      </c>
      <c r="F27" s="240">
        <f t="shared" si="4"/>
        <v>971.25</v>
      </c>
      <c r="G27" s="240">
        <f t="shared" si="4"/>
        <v>952.75</v>
      </c>
      <c r="H27" s="240">
        <f t="shared" si="4"/>
        <v>934.25</v>
      </c>
      <c r="I27" s="240">
        <f t="shared" si="4"/>
        <v>906.5</v>
      </c>
      <c r="J27" s="240">
        <f t="shared" si="4"/>
        <v>869.5</v>
      </c>
      <c r="K27" s="236">
        <v>6012.6772892979297</v>
      </c>
      <c r="L27" s="31"/>
      <c r="M27" s="2" t="s">
        <v>24</v>
      </c>
      <c r="N27" s="66">
        <v>19.068000000000001</v>
      </c>
      <c r="O27" s="264">
        <f t="shared" si="1"/>
        <v>4.2439444556965404E-2</v>
      </c>
      <c r="P27" s="264">
        <v>0.32006364432000001</v>
      </c>
      <c r="Q27" s="96">
        <v>6568</v>
      </c>
      <c r="R27" s="168">
        <f t="shared" si="2"/>
        <v>547.33333333333337</v>
      </c>
      <c r="T27" s="2" t="s">
        <v>24</v>
      </c>
      <c r="U27" s="240">
        <v>32.82794944153909</v>
      </c>
      <c r="V27" s="240">
        <v>34.776296634487501</v>
      </c>
      <c r="W27" s="240">
        <v>35.90733958038647</v>
      </c>
      <c r="X27" s="240">
        <v>35.030166289305136</v>
      </c>
      <c r="Y27" s="245">
        <v>35.54757202037635</v>
      </c>
      <c r="Z27" s="13">
        <v>34.503861885471018</v>
      </c>
      <c r="AA27" s="9">
        <v>2.4994366672085943E-2</v>
      </c>
      <c r="AB27" s="128">
        <v>2.0881376893832502</v>
      </c>
    </row>
    <row r="28" spans="2:34" x14ac:dyDescent="0.35">
      <c r="B28" s="2" t="s">
        <v>25</v>
      </c>
      <c r="C28" s="27">
        <v>2.35E-2</v>
      </c>
      <c r="D28" s="240">
        <f t="shared" si="3"/>
        <v>94</v>
      </c>
      <c r="E28" s="240">
        <f t="shared" si="4"/>
        <v>256.14999999999998</v>
      </c>
      <c r="F28" s="240">
        <f t="shared" si="4"/>
        <v>246.75</v>
      </c>
      <c r="G28" s="240">
        <f t="shared" si="4"/>
        <v>242.05</v>
      </c>
      <c r="H28" s="240">
        <f t="shared" si="4"/>
        <v>237.35</v>
      </c>
      <c r="I28" s="240">
        <f t="shared" si="4"/>
        <v>230.3</v>
      </c>
      <c r="J28" s="240">
        <f t="shared" si="4"/>
        <v>220.9</v>
      </c>
      <c r="K28" s="236">
        <v>1530.5530743711365</v>
      </c>
      <c r="L28" s="31"/>
      <c r="M28" s="2" t="s">
        <v>25</v>
      </c>
      <c r="N28" s="66">
        <v>5.4249999999999998</v>
      </c>
      <c r="O28" s="264">
        <f t="shared" si="1"/>
        <v>1.2074364732616808E-2</v>
      </c>
      <c r="P28" s="264">
        <v>0.1756420628</v>
      </c>
      <c r="Q28" s="96">
        <v>9214</v>
      </c>
      <c r="R28" s="168">
        <f t="shared" si="2"/>
        <v>767.83333333333337</v>
      </c>
      <c r="T28" s="2" t="s">
        <v>25</v>
      </c>
      <c r="U28" s="240">
        <v>13.421187116464996</v>
      </c>
      <c r="V28" s="240">
        <v>13.970958339853137</v>
      </c>
      <c r="W28" s="240">
        <v>13.841274726346489</v>
      </c>
      <c r="X28" s="240">
        <v>13.733273885353142</v>
      </c>
      <c r="Y28" s="245">
        <v>12.823248227546024</v>
      </c>
      <c r="Z28" s="13">
        <v>13.744473394221542</v>
      </c>
      <c r="AA28" s="9">
        <v>9.9564045575593757E-3</v>
      </c>
      <c r="AB28" s="128">
        <v>2.6380934985670659</v>
      </c>
    </row>
    <row r="29" spans="2:34" x14ac:dyDescent="0.35">
      <c r="B29" s="2" t="s">
        <v>26</v>
      </c>
      <c r="C29" s="27">
        <v>5.4999999999999997E-3</v>
      </c>
      <c r="D29" s="240">
        <f t="shared" si="3"/>
        <v>22</v>
      </c>
      <c r="E29" s="240">
        <f t="shared" si="4"/>
        <v>59.949999999999996</v>
      </c>
      <c r="F29" s="240">
        <f t="shared" si="4"/>
        <v>57.75</v>
      </c>
      <c r="G29" s="240">
        <f t="shared" si="4"/>
        <v>56.65</v>
      </c>
      <c r="H29" s="240">
        <f t="shared" si="4"/>
        <v>55.55</v>
      </c>
      <c r="I29" s="240">
        <f t="shared" si="4"/>
        <v>53.9</v>
      </c>
      <c r="J29" s="240">
        <f t="shared" si="4"/>
        <v>51.699999999999996</v>
      </c>
      <c r="K29" s="236">
        <v>357.74648753348293</v>
      </c>
      <c r="L29" s="31"/>
      <c r="M29" s="2" t="s">
        <v>26</v>
      </c>
      <c r="N29" s="66">
        <v>2.1240000000000001</v>
      </c>
      <c r="O29" s="264">
        <f t="shared" si="1"/>
        <v>4.7273641828715395E-3</v>
      </c>
      <c r="P29" s="264">
        <v>0.13741756428000002</v>
      </c>
      <c r="Q29" s="96">
        <v>18053</v>
      </c>
      <c r="R29" s="168">
        <f t="shared" si="2"/>
        <v>1504.4166666666667</v>
      </c>
      <c r="T29" s="2" t="s">
        <v>26</v>
      </c>
      <c r="U29" s="240">
        <v>7.4708052778993608</v>
      </c>
      <c r="V29" s="240">
        <v>7.474201940821481</v>
      </c>
      <c r="W29" s="240">
        <v>7.4502936971044988</v>
      </c>
      <c r="X29" s="240">
        <v>7.2251009577684329</v>
      </c>
      <c r="Y29" s="245">
        <v>6.2237618789785545</v>
      </c>
      <c r="Z29" s="13">
        <v>7.4651003052751141</v>
      </c>
      <c r="AA29" s="9">
        <v>5.4076687094703115E-3</v>
      </c>
      <c r="AB29" s="128">
        <v>3.3188155807165987</v>
      </c>
    </row>
    <row r="30" spans="2:34" x14ac:dyDescent="0.35">
      <c r="B30" s="2" t="s">
        <v>27</v>
      </c>
      <c r="C30" s="27">
        <v>0.1052</v>
      </c>
      <c r="D30" s="240">
        <f t="shared" si="3"/>
        <v>420.8</v>
      </c>
      <c r="E30" s="240">
        <f t="shared" si="4"/>
        <v>1146.68</v>
      </c>
      <c r="F30" s="240">
        <f t="shared" si="4"/>
        <v>1104.5999999999999</v>
      </c>
      <c r="G30" s="240">
        <f t="shared" si="4"/>
        <v>1083.56</v>
      </c>
      <c r="H30" s="240">
        <f t="shared" si="4"/>
        <v>1062.52</v>
      </c>
      <c r="I30" s="240">
        <f t="shared" si="4"/>
        <v>1030.96</v>
      </c>
      <c r="J30" s="240">
        <f t="shared" si="4"/>
        <v>988.88</v>
      </c>
      <c r="K30" s="236">
        <v>6837.7846306189786</v>
      </c>
      <c r="L30" s="31"/>
      <c r="M30" s="2" t="s">
        <v>27</v>
      </c>
      <c r="N30" s="66">
        <v>48.62</v>
      </c>
      <c r="O30" s="264">
        <f t="shared" si="1"/>
        <v>0.10821301627646622</v>
      </c>
      <c r="P30" s="264">
        <v>0.26508505015</v>
      </c>
      <c r="Q30" s="96">
        <v>18316</v>
      </c>
      <c r="R30" s="168">
        <f t="shared" si="2"/>
        <v>1526.3333333333333</v>
      </c>
      <c r="T30" s="2" t="s">
        <v>27</v>
      </c>
      <c r="U30" s="240">
        <v>111.74494300263945</v>
      </c>
      <c r="V30" s="240">
        <v>113.71106656620205</v>
      </c>
      <c r="W30" s="240">
        <v>117.20146765344464</v>
      </c>
      <c r="X30" s="240">
        <v>117.03525389833736</v>
      </c>
      <c r="Y30" s="245">
        <v>101.14848326513703</v>
      </c>
      <c r="Z30" s="13">
        <v>114.21915907409539</v>
      </c>
      <c r="AA30" s="9">
        <v>8.2739594551802173E-2</v>
      </c>
      <c r="AB30" s="128">
        <v>2.4162346970129001</v>
      </c>
    </row>
    <row r="31" spans="2:34" x14ac:dyDescent="0.35">
      <c r="B31" s="3" t="s">
        <v>28</v>
      </c>
      <c r="C31" s="28">
        <v>6.1999999999999998E-3</v>
      </c>
      <c r="D31" s="241">
        <f t="shared" si="3"/>
        <v>24.8</v>
      </c>
      <c r="E31" s="241">
        <f t="shared" si="4"/>
        <v>67.58</v>
      </c>
      <c r="F31" s="241">
        <f t="shared" si="4"/>
        <v>65.099999999999994</v>
      </c>
      <c r="G31" s="241">
        <f t="shared" si="4"/>
        <v>63.86</v>
      </c>
      <c r="H31" s="241">
        <f t="shared" si="4"/>
        <v>62.62</v>
      </c>
      <c r="I31" s="241">
        <f t="shared" si="4"/>
        <v>60.76</v>
      </c>
      <c r="J31" s="241">
        <f t="shared" si="4"/>
        <v>58.28</v>
      </c>
      <c r="K31" s="237">
        <v>400.41623104038547</v>
      </c>
      <c r="L31" s="31"/>
      <c r="M31" s="3" t="s">
        <v>28</v>
      </c>
      <c r="N31" s="111">
        <v>10.552</v>
      </c>
      <c r="O31" s="265">
        <f t="shared" si="1"/>
        <v>2.3485474038446554E-2</v>
      </c>
      <c r="P31" s="265">
        <v>0.18361041728999999</v>
      </c>
      <c r="Q31" s="97">
        <v>27250</v>
      </c>
      <c r="R31" s="169">
        <f t="shared" si="2"/>
        <v>2270.8333333333335</v>
      </c>
      <c r="T31" s="3" t="s">
        <v>28</v>
      </c>
      <c r="U31" s="241">
        <v>19.464000135999992</v>
      </c>
      <c r="V31" s="241">
        <v>18.805577791741435</v>
      </c>
      <c r="W31" s="241">
        <v>18.012783923792732</v>
      </c>
      <c r="X31" s="241">
        <v>18.165504125646311</v>
      </c>
      <c r="Y31" s="246">
        <v>16.702518307292543</v>
      </c>
      <c r="Z31" s="16">
        <v>18.760787283844717</v>
      </c>
      <c r="AA31" s="10">
        <v>1.3590188773242041E-2</v>
      </c>
      <c r="AB31" s="128">
        <v>1.6920529081132585</v>
      </c>
    </row>
    <row r="32" spans="2:34" x14ac:dyDescent="0.35">
      <c r="P32" s="272">
        <f>P4</f>
        <v>0.214</v>
      </c>
      <c r="Q32" s="90"/>
      <c r="R32" s="273">
        <f>R4</f>
        <v>1695.8333333333333</v>
      </c>
    </row>
    <row r="34" spans="1:93" x14ac:dyDescent="0.35">
      <c r="A34" s="40"/>
      <c r="B34" s="40"/>
      <c r="C34" s="40"/>
      <c r="D34" s="40"/>
      <c r="E34" s="40"/>
      <c r="F34" s="40"/>
      <c r="G34" s="40"/>
      <c r="H34" s="40"/>
      <c r="I34" s="40"/>
      <c r="J34" s="40"/>
      <c r="K34" s="40"/>
      <c r="L34" s="40"/>
      <c r="M34" s="40"/>
      <c r="N34" s="91"/>
      <c r="O34" s="92"/>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row>
    <row r="35" spans="1:93" ht="15.6" thickBot="1" x14ac:dyDescent="0.4">
      <c r="B35" s="38"/>
      <c r="C35" s="38"/>
      <c r="D35" s="38"/>
      <c r="E35" s="38"/>
      <c r="F35" s="38"/>
      <c r="G35" s="39"/>
      <c r="H35" s="39"/>
      <c r="I35" s="12"/>
      <c r="W35" s="60"/>
    </row>
    <row r="36" spans="1:93" ht="15.75" customHeight="1" x14ac:dyDescent="0.35">
      <c r="C36" s="358" t="s">
        <v>40</v>
      </c>
      <c r="D36" s="359"/>
      <c r="E36" s="359"/>
      <c r="F36" s="359"/>
      <c r="G36" s="359"/>
      <c r="H36" s="359"/>
      <c r="I36" s="359"/>
      <c r="J36" s="359"/>
      <c r="K36" s="359"/>
      <c r="L36" s="360" t="s">
        <v>42</v>
      </c>
      <c r="M36" s="361"/>
      <c r="N36" s="361"/>
      <c r="O36" s="361"/>
      <c r="P36" s="361"/>
      <c r="Q36" s="361"/>
      <c r="R36" s="361"/>
      <c r="S36" s="361"/>
      <c r="T36" s="361"/>
      <c r="U36" s="362"/>
      <c r="V36" s="121"/>
      <c r="W36" s="359" t="s">
        <v>48</v>
      </c>
      <c r="X36" s="359"/>
      <c r="Y36" s="359"/>
      <c r="Z36" s="359"/>
      <c r="AA36" s="359"/>
      <c r="AB36" s="359"/>
      <c r="AC36" s="359"/>
      <c r="AD36" s="87">
        <f>Dashboard!E24</f>
        <v>0.25</v>
      </c>
      <c r="AE36" s="85"/>
      <c r="AF36" s="358" t="s">
        <v>49</v>
      </c>
      <c r="AG36" s="359"/>
      <c r="AH36" s="359"/>
      <c r="AI36" s="359"/>
      <c r="AJ36" s="359"/>
      <c r="AK36" s="359"/>
      <c r="AL36" s="359"/>
      <c r="AM36" s="359"/>
      <c r="AN36" s="359"/>
      <c r="AO36" s="359"/>
      <c r="AP36" s="360" t="s">
        <v>237</v>
      </c>
      <c r="AQ36" s="361"/>
      <c r="AR36" s="361"/>
      <c r="AS36" s="361"/>
      <c r="AT36" s="361"/>
      <c r="AU36" s="361"/>
      <c r="AV36" s="361"/>
      <c r="AW36" s="361"/>
      <c r="AX36" s="361"/>
      <c r="AY36" s="362"/>
      <c r="AZ36" s="359" t="s">
        <v>87</v>
      </c>
      <c r="BA36" s="359"/>
      <c r="BB36" s="359"/>
      <c r="BC36" s="359"/>
      <c r="BD36" s="359"/>
      <c r="BE36" s="359"/>
      <c r="BF36" s="359"/>
      <c r="BG36" s="359"/>
      <c r="BH36" s="359"/>
      <c r="BI36" s="363"/>
      <c r="BJ36" s="358" t="s">
        <v>51</v>
      </c>
      <c r="BK36" s="363"/>
      <c r="BL36" s="358" t="s">
        <v>131</v>
      </c>
      <c r="BM36" s="359"/>
      <c r="BN36" s="359"/>
      <c r="BO36" s="359"/>
      <c r="BP36" s="359"/>
      <c r="BQ36" s="359"/>
      <c r="BR36" s="359"/>
      <c r="BS36" s="359"/>
      <c r="BT36" s="86">
        <f>Dashboard!E23</f>
        <v>0.375</v>
      </c>
      <c r="BU36" s="85"/>
      <c r="BV36" s="358" t="s">
        <v>242</v>
      </c>
      <c r="BW36" s="359"/>
      <c r="BX36" s="359"/>
      <c r="BY36" s="359"/>
      <c r="BZ36" s="359"/>
      <c r="CA36" s="359"/>
      <c r="CB36" s="359"/>
      <c r="CC36" s="359"/>
      <c r="CD36" s="86"/>
      <c r="CE36" s="85"/>
      <c r="CF36" s="358" t="s">
        <v>156</v>
      </c>
      <c r="CG36" s="359"/>
      <c r="CH36" s="359"/>
      <c r="CI36" s="359"/>
      <c r="CJ36" s="359"/>
      <c r="CK36" s="359"/>
      <c r="CL36" s="359"/>
      <c r="CM36" s="359"/>
      <c r="CN36" s="86"/>
      <c r="CO36" s="85"/>
    </row>
    <row r="37" spans="1:93" x14ac:dyDescent="0.35">
      <c r="B37" s="44" t="s">
        <v>52</v>
      </c>
      <c r="C37" s="45" t="s">
        <v>72</v>
      </c>
      <c r="D37" s="20" t="s">
        <v>61</v>
      </c>
      <c r="E37" s="20" t="s">
        <v>62</v>
      </c>
      <c r="F37" s="20" t="s">
        <v>63</v>
      </c>
      <c r="G37" s="20" t="s">
        <v>64</v>
      </c>
      <c r="H37" s="20" t="s">
        <v>65</v>
      </c>
      <c r="I37" s="21" t="s">
        <v>66</v>
      </c>
      <c r="J37" s="25" t="s">
        <v>47</v>
      </c>
      <c r="K37" s="43" t="s">
        <v>46</v>
      </c>
      <c r="L37" s="122" t="s">
        <v>60</v>
      </c>
      <c r="M37" s="106" t="s">
        <v>72</v>
      </c>
      <c r="N37" s="106" t="s">
        <v>61</v>
      </c>
      <c r="O37" s="95" t="s">
        <v>62</v>
      </c>
      <c r="P37" s="95" t="s">
        <v>63</v>
      </c>
      <c r="Q37" s="95" t="s">
        <v>64</v>
      </c>
      <c r="R37" s="95" t="s">
        <v>65</v>
      </c>
      <c r="S37" s="107" t="s">
        <v>66</v>
      </c>
      <c r="T37" s="25" t="s">
        <v>47</v>
      </c>
      <c r="U37" s="123" t="s">
        <v>46</v>
      </c>
      <c r="V37" s="105" t="s">
        <v>60</v>
      </c>
      <c r="W37" s="112" t="s">
        <v>72</v>
      </c>
      <c r="X37" s="106" t="s">
        <v>61</v>
      </c>
      <c r="Y37" s="95" t="s">
        <v>62</v>
      </c>
      <c r="Z37" s="95" t="s">
        <v>63</v>
      </c>
      <c r="AA37" s="95" t="s">
        <v>64</v>
      </c>
      <c r="AB37" s="95" t="s">
        <v>65</v>
      </c>
      <c r="AC37" s="95" t="s">
        <v>66</v>
      </c>
      <c r="AD37" s="108" t="s">
        <v>47</v>
      </c>
      <c r="AE37" s="105" t="s">
        <v>46</v>
      </c>
      <c r="AF37" s="114" t="s">
        <v>60</v>
      </c>
      <c r="AG37" s="95" t="s">
        <v>72</v>
      </c>
      <c r="AH37" s="106" t="s">
        <v>61</v>
      </c>
      <c r="AI37" s="95" t="s">
        <v>62</v>
      </c>
      <c r="AJ37" s="95" t="s">
        <v>63</v>
      </c>
      <c r="AK37" s="95" t="s">
        <v>64</v>
      </c>
      <c r="AL37" s="95" t="s">
        <v>65</v>
      </c>
      <c r="AM37" s="95" t="s">
        <v>66</v>
      </c>
      <c r="AN37" s="108" t="s">
        <v>47</v>
      </c>
      <c r="AO37" s="105" t="s">
        <v>46</v>
      </c>
      <c r="AP37" s="115" t="s">
        <v>60</v>
      </c>
      <c r="AQ37" s="95" t="s">
        <v>72</v>
      </c>
      <c r="AR37" s="106" t="s">
        <v>61</v>
      </c>
      <c r="AS37" s="95" t="s">
        <v>62</v>
      </c>
      <c r="AT37" s="95" t="s">
        <v>63</v>
      </c>
      <c r="AU37" s="95" t="s">
        <v>64</v>
      </c>
      <c r="AV37" s="95" t="s">
        <v>65</v>
      </c>
      <c r="AW37" s="95" t="s">
        <v>66</v>
      </c>
      <c r="AX37" s="108" t="s">
        <v>47</v>
      </c>
      <c r="AY37" s="116" t="s">
        <v>46</v>
      </c>
      <c r="AZ37" s="114" t="s">
        <v>60</v>
      </c>
      <c r="BA37" s="95" t="s">
        <v>72</v>
      </c>
      <c r="BB37" s="106" t="s">
        <v>61</v>
      </c>
      <c r="BC37" s="95" t="s">
        <v>62</v>
      </c>
      <c r="BD37" s="95" t="s">
        <v>63</v>
      </c>
      <c r="BE37" s="95" t="s">
        <v>64</v>
      </c>
      <c r="BF37" s="95" t="s">
        <v>65</v>
      </c>
      <c r="BG37" s="95" t="s">
        <v>66</v>
      </c>
      <c r="BH37" s="108" t="s">
        <v>47</v>
      </c>
      <c r="BI37" s="105" t="s">
        <v>46</v>
      </c>
      <c r="BJ37" s="73" t="s">
        <v>47</v>
      </c>
      <c r="BK37" s="48" t="s">
        <v>46</v>
      </c>
      <c r="BL37" s="114" t="s">
        <v>60</v>
      </c>
      <c r="BM37" s="95" t="s">
        <v>72</v>
      </c>
      <c r="BN37" s="106" t="s">
        <v>61</v>
      </c>
      <c r="BO37" s="95" t="s">
        <v>62</v>
      </c>
      <c r="BP37" s="95" t="s">
        <v>63</v>
      </c>
      <c r="BQ37" s="95" t="s">
        <v>64</v>
      </c>
      <c r="BR37" s="95" t="s">
        <v>65</v>
      </c>
      <c r="BS37" s="95" t="s">
        <v>66</v>
      </c>
      <c r="BT37" s="108" t="s">
        <v>47</v>
      </c>
      <c r="BU37" s="105" t="s">
        <v>46</v>
      </c>
      <c r="BV37" s="114" t="s">
        <v>60</v>
      </c>
      <c r="BW37" s="95" t="s">
        <v>72</v>
      </c>
      <c r="BX37" s="106" t="s">
        <v>61</v>
      </c>
      <c r="BY37" s="95" t="s">
        <v>62</v>
      </c>
      <c r="BZ37" s="95" t="s">
        <v>63</v>
      </c>
      <c r="CA37" s="95" t="s">
        <v>64</v>
      </c>
      <c r="CB37" s="95" t="s">
        <v>65</v>
      </c>
      <c r="CC37" s="95" t="s">
        <v>66</v>
      </c>
      <c r="CD37" s="108" t="s">
        <v>47</v>
      </c>
      <c r="CE37" s="105" t="s">
        <v>46</v>
      </c>
      <c r="CF37" s="114" t="s">
        <v>60</v>
      </c>
      <c r="CG37" s="95" t="s">
        <v>72</v>
      </c>
      <c r="CH37" s="106" t="s">
        <v>61</v>
      </c>
      <c r="CI37" s="95" t="s">
        <v>62</v>
      </c>
      <c r="CJ37" s="95" t="s">
        <v>63</v>
      </c>
      <c r="CK37" s="95" t="s">
        <v>64</v>
      </c>
      <c r="CL37" s="95" t="s">
        <v>65</v>
      </c>
      <c r="CM37" s="95" t="s">
        <v>66</v>
      </c>
      <c r="CN37" s="108" t="s">
        <v>47</v>
      </c>
      <c r="CO37" s="105" t="s">
        <v>46</v>
      </c>
    </row>
    <row r="38" spans="1:93" x14ac:dyDescent="0.35">
      <c r="B38" s="7" t="s">
        <v>2</v>
      </c>
      <c r="C38" s="74">
        <f>D5</f>
        <v>35.6</v>
      </c>
      <c r="D38" s="55">
        <f>IF($AE$13=2027,E5,MIN(D5+$AG$7*E5/$E$4*$AU$8,E5))</f>
        <v>97.01</v>
      </c>
      <c r="E38" s="55">
        <f t="shared" ref="E38:I38" si="9">F5</f>
        <v>93.45</v>
      </c>
      <c r="F38" s="55">
        <f t="shared" si="9"/>
        <v>91.67</v>
      </c>
      <c r="G38" s="55">
        <f t="shared" si="9"/>
        <v>89.89</v>
      </c>
      <c r="H38" s="55">
        <f t="shared" si="9"/>
        <v>87.22</v>
      </c>
      <c r="I38" s="55">
        <f t="shared" si="9"/>
        <v>83.66</v>
      </c>
      <c r="J38" s="49">
        <v>578.97925326729501</v>
      </c>
      <c r="K38" s="61"/>
      <c r="L38" s="98" t="s">
        <v>2</v>
      </c>
      <c r="M38" s="69"/>
      <c r="N38" s="328">
        <f>IF(($D$4+$AG$7*$AU$8-$E$4)&gt;0,($D$4+$AG$7*$AU$8-$E$4)*$AA5,0)</f>
        <v>284.68000781751647</v>
      </c>
      <c r="O38" s="55">
        <f t="shared" ref="O38:O64" si="10">AV$8*(AH$7-AH$8)*$AA5</f>
        <v>812.97025565357455</v>
      </c>
      <c r="P38" s="61">
        <f t="shared" ref="P38:P64" si="11">AW$8*(AI$7-AI$8)*$AA5</f>
        <v>1094.1264118167976</v>
      </c>
      <c r="Q38" s="55">
        <f t="shared" ref="Q38:Q64" si="12">AX$8*(AJ$7-AJ$8)*$AA5</f>
        <v>1081.0803275178409</v>
      </c>
      <c r="R38" s="61">
        <f t="shared" ref="R38:R64" si="13">AY$8*(AK$7-AK$8)*$AA5</f>
        <v>1069.2355726535236</v>
      </c>
      <c r="S38" s="61">
        <f t="shared" ref="S38:S64" si="14">AZ$8*(AL$7-AL$8)*$AA5</f>
        <v>1026.4742519590986</v>
      </c>
      <c r="T38" s="13">
        <f>SUM(Table5[[#This Row],[2026]:[2032]])</f>
        <v>5368.5668274183517</v>
      </c>
      <c r="U38" s="52"/>
      <c r="V38" s="109" t="s">
        <v>2</v>
      </c>
      <c r="W38" s="94">
        <f t="shared" ref="W38:W64" si="15">C38/(1-$AD$36)-C38</f>
        <v>11.866666666666667</v>
      </c>
      <c r="X38" s="13">
        <f t="shared" ref="X38:X64" si="16">D38/(1-$AD$36)-D38</f>
        <v>32.336666666666659</v>
      </c>
      <c r="Y38" s="69">
        <f t="shared" ref="Y38:Y64" si="17">E38/(1-$AD$36)-E38</f>
        <v>31.150000000000006</v>
      </c>
      <c r="Z38" s="69">
        <f t="shared" ref="Z38:Z64" si="18">F38/(1-$AD$36)-F38</f>
        <v>30.556666666666672</v>
      </c>
      <c r="AA38" s="69">
        <f t="shared" ref="AA38:AA64" si="19">G38/(1-$AD$36)-G38</f>
        <v>29.963333333333338</v>
      </c>
      <c r="AB38" s="69">
        <f t="shared" ref="AB38:AB64" si="20">H38/(1-$AD$36)-H38</f>
        <v>29.073333333333338</v>
      </c>
      <c r="AC38" s="69">
        <f t="shared" ref="AC38:AC64" si="21">I38/(1-$AD$36)-I38</f>
        <v>27.88666666666667</v>
      </c>
      <c r="AD38" s="49">
        <f t="shared" ref="AD38:AD64" si="22">J38/(1-$AD$36)-J38</f>
        <v>192.99308442243171</v>
      </c>
      <c r="AE38" s="61"/>
      <c r="AF38" s="18" t="s">
        <v>2</v>
      </c>
      <c r="AG38" s="69">
        <f>C38+W38</f>
        <v>47.466666666666669</v>
      </c>
      <c r="AH38" s="13">
        <f>X38+D38</f>
        <v>129.34666666666666</v>
      </c>
      <c r="AI38" s="69">
        <f t="shared" ref="AI38:AI64" si="23">Y38+E38</f>
        <v>124.60000000000001</v>
      </c>
      <c r="AJ38" s="69">
        <f t="shared" ref="AJ38:AJ64" si="24">Z38+F38</f>
        <v>122.22666666666667</v>
      </c>
      <c r="AK38" s="69">
        <f t="shared" ref="AK38:AK64" si="25">AA38+G38</f>
        <v>119.85333333333334</v>
      </c>
      <c r="AL38" s="69">
        <f t="shared" ref="AL38:AL64" si="26">AB38+H38</f>
        <v>116.29333333333334</v>
      </c>
      <c r="AM38" s="69">
        <f t="shared" ref="AM38:AM64" si="27">AC38+I38</f>
        <v>111.54666666666667</v>
      </c>
      <c r="AN38" s="49">
        <f t="shared" ref="AN38:AN64" si="28">AD38+J38</f>
        <v>771.97233768972671</v>
      </c>
      <c r="AO38" s="61">
        <f t="shared" ref="AO38:AO64" si="29">AE38+K38</f>
        <v>0</v>
      </c>
      <c r="AP38" s="100" t="s">
        <v>2</v>
      </c>
      <c r="AQ38" s="69"/>
      <c r="AR38" s="331">
        <f>IF(N38-X38&gt;0,N38-X38,0)</f>
        <v>252.34334115084982</v>
      </c>
      <c r="AS38" s="69">
        <f t="shared" ref="AS38:AS64" si="30">O38-Y38</f>
        <v>781.82025565357458</v>
      </c>
      <c r="AT38" s="69">
        <f t="shared" ref="AT38:AT64" si="31">P38-Z38</f>
        <v>1063.569745150131</v>
      </c>
      <c r="AU38" s="69">
        <f t="shared" ref="AU38:AU64" si="32">Q38-AA38</f>
        <v>1051.1169941845076</v>
      </c>
      <c r="AV38" s="69">
        <f t="shared" ref="AV38:AV64" si="33">R38-AB38</f>
        <v>1040.1622393201903</v>
      </c>
      <c r="AW38" s="69">
        <f>S38-AC38</f>
        <v>998.58758529243198</v>
      </c>
      <c r="AX38" s="15">
        <f>T38-AD38</f>
        <v>5175.5737429959199</v>
      </c>
      <c r="AY38" s="50"/>
      <c r="AZ38" s="18" t="s">
        <v>2</v>
      </c>
      <c r="BA38" s="69">
        <f>Table9[[#This Row],[2026]]</f>
        <v>47.466666666666669</v>
      </c>
      <c r="BB38" s="13">
        <f>Table9[[#This Row],[2027]]+Table11[[#This Row],[2027]]</f>
        <v>381.69000781751652</v>
      </c>
      <c r="BC38" s="69">
        <f>E38+O38</f>
        <v>906.4202556535746</v>
      </c>
      <c r="BD38" s="69">
        <f t="shared" ref="BD38:BD65" si="34">F38+P38</f>
        <v>1185.7964118167977</v>
      </c>
      <c r="BE38" s="69">
        <f t="shared" ref="BE38:BE65" si="35">G38+Q38</f>
        <v>1170.970327517841</v>
      </c>
      <c r="BF38" s="69">
        <f t="shared" ref="BF38:BF65" si="36">H38+R38</f>
        <v>1156.4555726535236</v>
      </c>
      <c r="BG38" s="69">
        <f t="shared" ref="BG38:BG65" si="37">I38+S38</f>
        <v>1110.1342519590987</v>
      </c>
      <c r="BH38" s="49">
        <f>SUM(Table13[[#This Row],[2026]:[2032]])</f>
        <v>5958.9334940850185</v>
      </c>
      <c r="BI38" s="61">
        <f>SUM(Table13[[#This Row],[2027]:[2032]])</f>
        <v>5911.4668274183523</v>
      </c>
      <c r="BJ38" s="75">
        <f t="shared" ref="BJ38:BJ64" si="38">$BH$65/27</f>
        <v>9909.8873892570482</v>
      </c>
      <c r="BK38" s="76">
        <f t="shared" ref="BK38:BK64" si="39">$BI$65/27</f>
        <v>9711.6849201212426</v>
      </c>
      <c r="BL38" s="18" t="s">
        <v>2</v>
      </c>
      <c r="BM38" s="29">
        <f>$BT$36*AG38</f>
        <v>17.8</v>
      </c>
      <c r="BN38" s="13">
        <f>$BT$36*AH38</f>
        <v>48.504999999999995</v>
      </c>
      <c r="BO38" s="69">
        <f t="shared" ref="BO38:BO65" si="40">$BT$36*AI38</f>
        <v>46.725000000000001</v>
      </c>
      <c r="BP38" s="69">
        <f t="shared" ref="BP38:BP65" si="41">$BT$36*AJ38</f>
        <v>45.835000000000001</v>
      </c>
      <c r="BQ38" s="69">
        <f t="shared" ref="BQ38:BQ65" si="42">$BT$36*AK38</f>
        <v>44.945</v>
      </c>
      <c r="BR38" s="69">
        <f>$BT$36*AL38</f>
        <v>43.61</v>
      </c>
      <c r="BS38" s="69">
        <f t="shared" ref="BS38:BS65" si="43">$BT$36*AM38</f>
        <v>41.83</v>
      </c>
      <c r="BT38" s="49">
        <f>$BT$36*AN38</f>
        <v>289.4896266336475</v>
      </c>
      <c r="BU38" s="61">
        <f t="shared" ref="BU38:BU65" si="44">$BT$36*AO38</f>
        <v>0</v>
      </c>
      <c r="BV38" s="18" t="s">
        <v>2</v>
      </c>
      <c r="BW38" s="29">
        <f>IF($AE$13=2027,IF($AE$18&gt;0,$AE$18*(SUM($AJ$7:$AO$7)-$G$65/60-$H$65/60-$I$65/60)*$AG$18*$AA5*0.87-Table7[[#This Row],[2026]],0),IF($AE$18&gt;0,IF(($AE$18*(SUM($AJ$7:$AO$7)-$G$65/60-$H$65/60-$I$65/60)*$AG$18*$AA5*0.87/2-Table7[[#This Row],[2026]])&gt;0,$AE$18*(SUM($AJ$7:$AO$7)-$G$65/60-$H$65/60-$I$65/60)*$AG$18*$AA5*0.87/2-Table7[[#This Row],[2026]],0),0))</f>
        <v>464.66551939373409</v>
      </c>
      <c r="BX38" s="13">
        <f>IF($AE$13=2027,0,IF($AE$18&gt;0,$AE$18*(SUM($AJ$7:$AO$7)-$G$65/60-$H$65/60-$I$65/60)*$AG$18*$AA5*0.87/2-IF(Table5[[#This Row],[2027]]-Table7[[#This Row],[2027]]&gt;0,Table5[[#This Row],[2027]]-Table7[[#This Row],[2027]],0),0))</f>
        <v>224.18884490955094</v>
      </c>
      <c r="BY38" s="69"/>
      <c r="BZ38" s="69"/>
      <c r="CA38" s="69">
        <f>-Dashboard!$E$16*(SUM($AJ$7:$AO$7)-$G$65/60-$H$65/60-$I$65/60)*Dashboard!$H$16/6*$AA5</f>
        <v>-182.57938163233746</v>
      </c>
      <c r="CB38" s="69">
        <f>-Dashboard!$E$16*(SUM($AJ$7:$AO$7)-$G$65/60-$H$65/60-$I$65/60)*Dashboard!$H$16/6*$AA5</f>
        <v>-182.57938163233746</v>
      </c>
      <c r="CC38" s="69">
        <f>-Dashboard!$E$16*(SUM($AJ$7:$AO$7)-$G$65/60-$H$65/60-$I$65/60)*Dashboard!$H$16/6*$AA5</f>
        <v>-182.57938163233746</v>
      </c>
      <c r="CD38" s="49">
        <f>SUM(Table154[[#This Row],[2026]:[2032]])</f>
        <v>141.11621940627265</v>
      </c>
      <c r="CE38" s="61"/>
      <c r="CF38" s="18" t="s">
        <v>2</v>
      </c>
      <c r="CG38" s="29">
        <f t="shared" ref="CG38:CG65" si="45">BA38+BW38</f>
        <v>512.13218606040073</v>
      </c>
      <c r="CH38" s="13">
        <f>Table9[[#This Row],[2027]]+Table11[[#This Row],[2027]]+Table154[[#This Row],[2027]]</f>
        <v>605.8788527270674</v>
      </c>
      <c r="CI38" s="69">
        <f>Table9[[#This Row],[2028]]+Table11[[#This Row],[2028]]+Table154[[#This Row],[2028]]</f>
        <v>906.4202556535746</v>
      </c>
      <c r="CJ38" s="69">
        <f>Table9[[#This Row],[2029]]+Table11[[#This Row],[2029]]+Table154[[#This Row],[2029]]</f>
        <v>1185.7964118167977</v>
      </c>
      <c r="CK38" s="69">
        <f>Table9[[#This Row],[2030]]+Table11[[#This Row],[2030]]+Table154[[#This Row],[2030]]</f>
        <v>988.39094588550336</v>
      </c>
      <c r="CL38" s="69">
        <f>Table9[[#This Row],[2031]]+Table11[[#This Row],[2031]]+Table154[[#This Row],[2031]]</f>
        <v>973.87619102118617</v>
      </c>
      <c r="CM38" s="69">
        <f>Table9[[#This Row],[2032]]+Table11[[#This Row],[2032]]+Table154[[#This Row],[2032]]</f>
        <v>927.55487032676126</v>
      </c>
      <c r="CN38" s="49"/>
      <c r="CO38" s="61"/>
    </row>
    <row r="39" spans="1:93" x14ac:dyDescent="0.35">
      <c r="B39" s="7" t="s">
        <v>3</v>
      </c>
      <c r="C39" s="74">
        <f t="shared" ref="C39:C64" si="46">D6</f>
        <v>102</v>
      </c>
      <c r="D39" s="55">
        <f>IF($AE$13=2027,E6,MIN(D6+$AG$7*E6/$E$4*$AU$8,E6))</f>
        <v>277.95</v>
      </c>
      <c r="E39" s="55">
        <f t="shared" ref="E39:I48" si="47">F6</f>
        <v>267.75</v>
      </c>
      <c r="F39" s="55">
        <f t="shared" si="47"/>
        <v>262.64999999999998</v>
      </c>
      <c r="G39" s="55">
        <f t="shared" si="47"/>
        <v>257.55</v>
      </c>
      <c r="H39" s="55">
        <f t="shared" si="47"/>
        <v>249.89999999999998</v>
      </c>
      <c r="I39" s="55">
        <f t="shared" si="47"/>
        <v>239.7</v>
      </c>
      <c r="J39" s="51">
        <v>1659.7298763393271</v>
      </c>
      <c r="K39" s="55"/>
      <c r="L39" s="98" t="s">
        <v>3</v>
      </c>
      <c r="M39" s="69"/>
      <c r="N39" s="329">
        <f t="shared" ref="N39:N64" si="48">IF(($D$4+$AG$7*$AU$8-$E$4)&gt;0,($D$4+$AG$7*$AU$8-$E$4)*$AA6,0)</f>
        <v>409.03294057940406</v>
      </c>
      <c r="O39" s="55">
        <f t="shared" si="10"/>
        <v>1168.0891005410135</v>
      </c>
      <c r="P39" s="55">
        <f t="shared" si="11"/>
        <v>1572.0589128193772</v>
      </c>
      <c r="Q39" s="55">
        <f t="shared" si="12"/>
        <v>1553.3140832658046</v>
      </c>
      <c r="R39" s="55">
        <f t="shared" si="13"/>
        <v>1536.2953437001534</v>
      </c>
      <c r="S39" s="55">
        <f t="shared" si="14"/>
        <v>1474.8551713438585</v>
      </c>
      <c r="T39" s="13">
        <f>SUM(Table5[[#This Row],[2026]:[2032]])</f>
        <v>7713.6455522496108</v>
      </c>
      <c r="U39" s="52"/>
      <c r="V39" t="s">
        <v>3</v>
      </c>
      <c r="W39" s="96">
        <f t="shared" si="15"/>
        <v>34</v>
      </c>
      <c r="X39" s="13">
        <f t="shared" si="16"/>
        <v>92.649999999999977</v>
      </c>
      <c r="Y39" s="69">
        <f t="shared" si="17"/>
        <v>89.25</v>
      </c>
      <c r="Z39" s="69">
        <f t="shared" si="18"/>
        <v>87.550000000000011</v>
      </c>
      <c r="AA39" s="69">
        <f t="shared" si="19"/>
        <v>85.850000000000023</v>
      </c>
      <c r="AB39" s="69">
        <f t="shared" si="20"/>
        <v>83.300000000000011</v>
      </c>
      <c r="AC39" s="69">
        <f t="shared" si="21"/>
        <v>79.899999999999977</v>
      </c>
      <c r="AD39" s="51">
        <f t="shared" si="22"/>
        <v>553.24329211310919</v>
      </c>
      <c r="AE39" s="55"/>
      <c r="AF39" s="93" t="s">
        <v>3</v>
      </c>
      <c r="AG39" s="69">
        <f t="shared" ref="AG39:AG65" si="49">C39+W39</f>
        <v>136</v>
      </c>
      <c r="AH39" s="13">
        <f t="shared" ref="AH39:AH64" si="50">X39+D39</f>
        <v>370.59999999999997</v>
      </c>
      <c r="AI39" s="69">
        <f t="shared" si="23"/>
        <v>357</v>
      </c>
      <c r="AJ39" s="69">
        <f t="shared" si="24"/>
        <v>350.2</v>
      </c>
      <c r="AK39" s="69">
        <f t="shared" si="25"/>
        <v>343.40000000000003</v>
      </c>
      <c r="AL39" s="69">
        <f t="shared" si="26"/>
        <v>333.2</v>
      </c>
      <c r="AM39" s="69">
        <f t="shared" si="27"/>
        <v>319.59999999999997</v>
      </c>
      <c r="AN39" s="51">
        <f t="shared" si="28"/>
        <v>2212.9731684524363</v>
      </c>
      <c r="AO39" s="55">
        <f t="shared" si="29"/>
        <v>0</v>
      </c>
      <c r="AP39" s="98" t="s">
        <v>3</v>
      </c>
      <c r="AQ39" s="69"/>
      <c r="AR39" s="331">
        <f t="shared" ref="AR39:AR64" si="51">IF(N39-X39&gt;0,N39-X39,0)</f>
        <v>316.38294057940408</v>
      </c>
      <c r="AS39" s="69">
        <f t="shared" si="30"/>
        <v>1078.8391005410135</v>
      </c>
      <c r="AT39" s="69">
        <f t="shared" si="31"/>
        <v>1484.5089128193772</v>
      </c>
      <c r="AU39" s="69">
        <f t="shared" si="32"/>
        <v>1467.4640832658047</v>
      </c>
      <c r="AV39" s="69">
        <f t="shared" si="33"/>
        <v>1452.9953437001534</v>
      </c>
      <c r="AW39" s="69">
        <f>S39-AC39</f>
        <v>1394.9551713438586</v>
      </c>
      <c r="AX39" s="13">
        <f t="shared" ref="AX39:AX64" si="52">T39-AD39</f>
        <v>7160.4022601365014</v>
      </c>
      <c r="AY39" s="52"/>
      <c r="AZ39" s="93" t="s">
        <v>3</v>
      </c>
      <c r="BA39" s="69">
        <f>Table9[[#This Row],[2026]]</f>
        <v>136</v>
      </c>
      <c r="BB39" s="13">
        <f>Table9[[#This Row],[2027]]+Table11[[#This Row],[2027]]</f>
        <v>686.98294057940404</v>
      </c>
      <c r="BC39" s="69">
        <f t="shared" ref="BC39:BC65" si="53">E39+O39</f>
        <v>1435.8391005410135</v>
      </c>
      <c r="BD39" s="69">
        <f t="shared" si="34"/>
        <v>1834.708912819377</v>
      </c>
      <c r="BE39" s="69">
        <f t="shared" si="35"/>
        <v>1810.8640832658045</v>
      </c>
      <c r="BF39" s="69">
        <f t="shared" si="36"/>
        <v>1786.1953437001534</v>
      </c>
      <c r="BG39" s="69">
        <f>I39+S39</f>
        <v>1714.5551713438585</v>
      </c>
      <c r="BH39" s="51">
        <f>SUM(Table13[[#This Row],[2026]:[2032]])</f>
        <v>9405.1455522496108</v>
      </c>
      <c r="BI39" s="55">
        <f>SUM(Table13[[#This Row],[2027]:[2032]])</f>
        <v>9269.1455522496108</v>
      </c>
      <c r="BJ39" s="75">
        <f t="shared" si="38"/>
        <v>9909.8873892570482</v>
      </c>
      <c r="BK39" s="76">
        <f t="shared" si="39"/>
        <v>9711.6849201212426</v>
      </c>
      <c r="BL39" s="93" t="s">
        <v>3</v>
      </c>
      <c r="BM39" s="69">
        <f t="shared" ref="BM39:BM64" si="54">$BT$36*AG39</f>
        <v>51</v>
      </c>
      <c r="BN39" s="13">
        <f t="shared" ref="BN39:BN65" si="55">$BT$36*AH39</f>
        <v>138.97499999999999</v>
      </c>
      <c r="BO39" s="69">
        <f t="shared" si="40"/>
        <v>133.875</v>
      </c>
      <c r="BP39" s="69">
        <f t="shared" si="41"/>
        <v>131.32499999999999</v>
      </c>
      <c r="BQ39" s="69">
        <f t="shared" si="42"/>
        <v>128.77500000000001</v>
      </c>
      <c r="BR39" s="69">
        <f t="shared" ref="BR39:BR65" si="56">$BT$36*AL39</f>
        <v>124.94999999999999</v>
      </c>
      <c r="BS39" s="69">
        <f t="shared" si="43"/>
        <v>119.85</v>
      </c>
      <c r="BT39" s="51">
        <f t="shared" ref="BT39:BT65" si="57">$BT$36*AN39</f>
        <v>829.86493816966367</v>
      </c>
      <c r="BU39" s="55">
        <f t="shared" si="44"/>
        <v>0</v>
      </c>
      <c r="BV39" s="93" t="s">
        <v>3</v>
      </c>
      <c r="BW39" s="29">
        <f>IF($AE$13=2027,IF($AE$18&gt;0,$AE$18*(SUM($AJ$7:$AO$7)-$G$65/60-$H$65/60-$I$65/60)*$AG$18*$AA6*0.87-Table7[[#This Row],[2026]],0),IF($AE$18&gt;0,IF(($AE$18*(SUM($AJ$7:$AO$7)-$G$65/60-$H$65/60-$I$65/60)*$AG$18*$AA6*0.87/2-Table7[[#This Row],[2026]])&gt;0,$AE$18*(SUM($AJ$7:$AO$7)-$G$65/60-$H$65/60-$I$65/60)*$AG$18*$AA6*0.87/2-Table7[[#This Row],[2026]],0),0))</f>
        <v>650.68932131673239</v>
      </c>
      <c r="BX39" s="13">
        <f>IF($AE$13=2027,0,IF($AE$18&gt;0,$AE$18*(SUM($AJ$7:$AO$7)-$G$65/60-$H$65/60-$I$65/60)*$AG$18*$AA6*0.87/2-IF(Table5[[#This Row],[2027]]-Table7[[#This Row],[2027]]&gt;0,Table5[[#This Row],[2027]]-Table7[[#This Row],[2027]],0),0))</f>
        <v>368.30638073732831</v>
      </c>
      <c r="BY39" s="69"/>
      <c r="BZ39" s="69"/>
      <c r="CA39" s="69">
        <f>-Dashboard!$E$16*(SUM($AJ$7:$AO$7)-$G$65/60-$H$65/60-$I$65/60)*Dashboard!$H$16/6*$AA6</f>
        <v>-262.33307330143003</v>
      </c>
      <c r="CB39" s="69">
        <f>-Dashboard!$E$16*(SUM($AJ$7:$AO$7)-$G$65/60-$H$65/60-$I$65/60)*Dashboard!$H$16/6*$AA6</f>
        <v>-262.33307330143003</v>
      </c>
      <c r="CC39" s="69">
        <f>-Dashboard!$E$16*(SUM($AJ$7:$AO$7)-$G$65/60-$H$65/60-$I$65/60)*Dashboard!$H$16/6*$AA6</f>
        <v>-262.33307330143003</v>
      </c>
      <c r="CD39" s="51">
        <f>SUM(Table154[[#This Row],[2026]:[2032]])</f>
        <v>231.99648214977071</v>
      </c>
      <c r="CE39" s="55"/>
      <c r="CF39" s="93" t="s">
        <v>3</v>
      </c>
      <c r="CG39" s="29">
        <f t="shared" si="45"/>
        <v>786.68932131673239</v>
      </c>
      <c r="CH39" s="13">
        <f>Table9[[#This Row],[2027]]+Table11[[#This Row],[2027]]+Table154[[#This Row],[2027]]</f>
        <v>1055.2893213167324</v>
      </c>
      <c r="CI39" s="69">
        <f>Table9[[#This Row],[2028]]+Table11[[#This Row],[2028]]+Table154[[#This Row],[2028]]</f>
        <v>1435.8391005410135</v>
      </c>
      <c r="CJ39" s="69">
        <f>Table9[[#This Row],[2029]]+Table11[[#This Row],[2029]]+Table154[[#This Row],[2029]]</f>
        <v>1834.7089128193772</v>
      </c>
      <c r="CK39" s="69">
        <f>Table9[[#This Row],[2030]]+Table11[[#This Row],[2030]]+Table154[[#This Row],[2030]]</f>
        <v>1548.5310099643748</v>
      </c>
      <c r="CL39" s="69">
        <f>Table9[[#This Row],[2031]]+Table11[[#This Row],[2031]]+Table154[[#This Row],[2031]]</f>
        <v>1523.8622703987235</v>
      </c>
      <c r="CM39" s="69">
        <f>Table9[[#This Row],[2032]]+Table11[[#This Row],[2032]]+Table154[[#This Row],[2032]]</f>
        <v>1452.2220980424286</v>
      </c>
      <c r="CN39" s="51"/>
      <c r="CO39" s="55"/>
    </row>
    <row r="40" spans="1:93" x14ac:dyDescent="0.35">
      <c r="B40" s="7" t="s">
        <v>4</v>
      </c>
      <c r="C40" s="74">
        <f t="shared" si="46"/>
        <v>154</v>
      </c>
      <c r="D40" s="55">
        <f t="shared" ref="D40:D64" si="58">IF($AE$13=2027,E7,MIN(D7+$AG$7*E7/$E$4*$AU$8,E7))</f>
        <v>419.65</v>
      </c>
      <c r="E40" s="55">
        <f t="shared" si="47"/>
        <v>404.25</v>
      </c>
      <c r="F40" s="55">
        <f t="shared" si="47"/>
        <v>396.55</v>
      </c>
      <c r="G40" s="55">
        <f t="shared" si="47"/>
        <v>388.85</v>
      </c>
      <c r="H40" s="55">
        <f t="shared" si="47"/>
        <v>377.3</v>
      </c>
      <c r="I40" s="55">
        <f t="shared" si="47"/>
        <v>361.9</v>
      </c>
      <c r="J40" s="51">
        <v>2499.4902803080995</v>
      </c>
      <c r="K40" s="55"/>
      <c r="L40" s="98" t="s">
        <v>4</v>
      </c>
      <c r="M40" s="69"/>
      <c r="N40" s="329">
        <f t="shared" si="48"/>
        <v>96.65938985040718</v>
      </c>
      <c r="O40" s="55">
        <f t="shared" si="10"/>
        <v>276.03346466245574</v>
      </c>
      <c r="P40" s="55">
        <f t="shared" si="11"/>
        <v>371.49637656754231</v>
      </c>
      <c r="Q40" s="55">
        <f t="shared" si="12"/>
        <v>367.06674851623751</v>
      </c>
      <c r="R40" s="55">
        <f t="shared" si="13"/>
        <v>363.04501623201458</v>
      </c>
      <c r="S40" s="55">
        <f t="shared" si="14"/>
        <v>348.52596658322364</v>
      </c>
      <c r="T40" s="13">
        <f>SUM(Table5[[#This Row],[2026]:[2032]])</f>
        <v>1822.8269624118811</v>
      </c>
      <c r="U40" s="52"/>
      <c r="V40" t="s">
        <v>4</v>
      </c>
      <c r="W40" s="96">
        <f t="shared" si="15"/>
        <v>51.333333333333343</v>
      </c>
      <c r="X40" s="13">
        <f t="shared" si="16"/>
        <v>139.88333333333333</v>
      </c>
      <c r="Y40" s="69">
        <f t="shared" si="17"/>
        <v>134.75</v>
      </c>
      <c r="Z40" s="69">
        <f t="shared" si="18"/>
        <v>132.18333333333334</v>
      </c>
      <c r="AA40" s="69">
        <f t="shared" si="19"/>
        <v>129.61666666666667</v>
      </c>
      <c r="AB40" s="69">
        <f t="shared" si="20"/>
        <v>125.76666666666665</v>
      </c>
      <c r="AC40" s="69">
        <f t="shared" si="21"/>
        <v>120.63333333333333</v>
      </c>
      <c r="AD40" s="51">
        <f t="shared" si="22"/>
        <v>833.16342676936665</v>
      </c>
      <c r="AE40" s="55"/>
      <c r="AF40" s="93" t="s">
        <v>4</v>
      </c>
      <c r="AG40" s="69">
        <f t="shared" si="49"/>
        <v>205.33333333333334</v>
      </c>
      <c r="AH40" s="13">
        <f t="shared" si="50"/>
        <v>559.5333333333333</v>
      </c>
      <c r="AI40" s="69">
        <f t="shared" si="23"/>
        <v>539</v>
      </c>
      <c r="AJ40" s="69">
        <f t="shared" si="24"/>
        <v>528.73333333333335</v>
      </c>
      <c r="AK40" s="69">
        <f t="shared" si="25"/>
        <v>518.4666666666667</v>
      </c>
      <c r="AL40" s="69">
        <f t="shared" si="26"/>
        <v>503.06666666666666</v>
      </c>
      <c r="AM40" s="69">
        <f t="shared" si="27"/>
        <v>482.5333333333333</v>
      </c>
      <c r="AN40" s="51">
        <f t="shared" si="28"/>
        <v>3332.6537070774662</v>
      </c>
      <c r="AO40" s="55">
        <f t="shared" si="29"/>
        <v>0</v>
      </c>
      <c r="AP40" s="98" t="s">
        <v>4</v>
      </c>
      <c r="AQ40" s="69"/>
      <c r="AR40" s="331">
        <f t="shared" si="51"/>
        <v>0</v>
      </c>
      <c r="AS40" s="69">
        <f t="shared" si="30"/>
        <v>141.28346466245574</v>
      </c>
      <c r="AT40" s="69">
        <f t="shared" si="31"/>
        <v>239.31304323420898</v>
      </c>
      <c r="AU40" s="69">
        <f t="shared" si="32"/>
        <v>237.45008184957084</v>
      </c>
      <c r="AV40" s="69">
        <f t="shared" si="33"/>
        <v>237.27834956534792</v>
      </c>
      <c r="AW40" s="69">
        <f t="shared" ref="AW40:AW64" si="59">S40-AC40</f>
        <v>227.89263324989031</v>
      </c>
      <c r="AX40" s="13">
        <f t="shared" si="52"/>
        <v>989.66353564251449</v>
      </c>
      <c r="AY40" s="52"/>
      <c r="AZ40" s="93" t="s">
        <v>4</v>
      </c>
      <c r="BA40" s="69">
        <f>Table9[[#This Row],[2026]]</f>
        <v>205.33333333333334</v>
      </c>
      <c r="BB40" s="13">
        <f>Table9[[#This Row],[2027]]+Table11[[#This Row],[2027]]</f>
        <v>559.5333333333333</v>
      </c>
      <c r="BC40" s="69">
        <f t="shared" si="53"/>
        <v>680.2834646624558</v>
      </c>
      <c r="BD40" s="69">
        <f t="shared" si="34"/>
        <v>768.04637656754232</v>
      </c>
      <c r="BE40" s="69">
        <f t="shared" si="35"/>
        <v>755.91674851623748</v>
      </c>
      <c r="BF40" s="69">
        <f t="shared" si="36"/>
        <v>740.34501623201459</v>
      </c>
      <c r="BG40" s="69">
        <f t="shared" si="37"/>
        <v>710.42596658322361</v>
      </c>
      <c r="BH40" s="51">
        <f>SUM(Table13[[#This Row],[2026]:[2032]])</f>
        <v>4419.8842392281404</v>
      </c>
      <c r="BI40" s="55">
        <f>SUM(Table13[[#This Row],[2027]:[2032]])</f>
        <v>4214.5509058948073</v>
      </c>
      <c r="BJ40" s="75">
        <f t="shared" si="38"/>
        <v>9909.8873892570482</v>
      </c>
      <c r="BK40" s="76">
        <f t="shared" si="39"/>
        <v>9711.6849201212426</v>
      </c>
      <c r="BL40" s="93" t="s">
        <v>4</v>
      </c>
      <c r="BM40" s="69">
        <f t="shared" si="54"/>
        <v>77</v>
      </c>
      <c r="BN40" s="13">
        <f t="shared" si="55"/>
        <v>209.82499999999999</v>
      </c>
      <c r="BO40" s="69">
        <f t="shared" si="40"/>
        <v>202.125</v>
      </c>
      <c r="BP40" s="69">
        <f t="shared" si="41"/>
        <v>198.27500000000001</v>
      </c>
      <c r="BQ40" s="69">
        <f t="shared" si="42"/>
        <v>194.42500000000001</v>
      </c>
      <c r="BR40" s="69">
        <f t="shared" si="56"/>
        <v>188.65</v>
      </c>
      <c r="BS40" s="69">
        <f t="shared" si="43"/>
        <v>180.95</v>
      </c>
      <c r="BT40" s="51">
        <f t="shared" si="57"/>
        <v>1249.7451401540497</v>
      </c>
      <c r="BU40" s="55">
        <f t="shared" si="44"/>
        <v>0</v>
      </c>
      <c r="BV40" s="93" t="s">
        <v>4</v>
      </c>
      <c r="BW40" s="29">
        <f>IF($AE$13=2027,IF($AE$18&gt;0,$AE$18*(SUM($AJ$7:$AO$7)-$G$65/60-$H$65/60-$I$65/60)*$AG$18*$AA7*0.87-Table7[[#This Row],[2026]],0),IF($AE$18&gt;0,IF(($AE$18*(SUM($AJ$7:$AO$7)-$G$65/60-$H$65/60-$I$65/60)*$AG$18*$AA7*0.87/2-Table7[[#This Row],[2026]])&gt;0,$AE$18*(SUM($AJ$7:$AO$7)-$G$65/60-$H$65/60-$I$65/60)*$AG$18*$AA7*0.87/2-Table7[[#This Row],[2026]],0),0))</f>
        <v>110.46696554190393</v>
      </c>
      <c r="BX40" s="13">
        <f>IF($AE$13=2027,0,IF($AE$18&gt;0,$AE$18*(SUM($AJ$7:$AO$7)-$G$65/60-$H$65/60-$I$65/60)*$AG$18*$AA7*0.87/2-IF(Table5[[#This Row],[2027]]-Table7[[#This Row],[2027]]&gt;0,Table5[[#This Row],[2027]]-Table7[[#This Row],[2027]],0),0))</f>
        <v>161.80029887523727</v>
      </c>
      <c r="BY40" s="69"/>
      <c r="BZ40" s="69"/>
      <c r="CA40" s="69">
        <f>-Dashboard!$E$16*(SUM($AJ$7:$AO$7)-$G$65/60-$H$65/60-$I$65/60)*Dashboard!$H$16/6*$AA7</f>
        <v>-61.992451676336117</v>
      </c>
      <c r="CB40" s="69">
        <f>-Dashboard!$E$16*(SUM($AJ$7:$AO$7)-$G$65/60-$H$65/60-$I$65/60)*Dashboard!$H$16/6*$AA7</f>
        <v>-61.992451676336117</v>
      </c>
      <c r="CC40" s="69">
        <f>-Dashboard!$E$16*(SUM($AJ$7:$AO$7)-$G$65/60-$H$65/60-$I$65/60)*Dashboard!$H$16/6*$AA7</f>
        <v>-61.992451676336117</v>
      </c>
      <c r="CD40" s="51">
        <f>SUM(Table154[[#This Row],[2026]:[2032]])</f>
        <v>86.289909388132827</v>
      </c>
      <c r="CE40" s="55"/>
      <c r="CF40" s="93" t="s">
        <v>4</v>
      </c>
      <c r="CG40" s="29">
        <f t="shared" si="45"/>
        <v>315.80029887523727</v>
      </c>
      <c r="CH40" s="13">
        <f>Table9[[#This Row],[2027]]+Table11[[#This Row],[2027]]+Table154[[#This Row],[2027]]</f>
        <v>721.33363220857063</v>
      </c>
      <c r="CI40" s="69">
        <f>Table9[[#This Row],[2028]]+Table11[[#This Row],[2028]]+Table154[[#This Row],[2028]]</f>
        <v>680.2834646624558</v>
      </c>
      <c r="CJ40" s="69">
        <f>Table9[[#This Row],[2029]]+Table11[[#This Row],[2029]]+Table154[[#This Row],[2029]]</f>
        <v>768.04637656754232</v>
      </c>
      <c r="CK40" s="69">
        <f>Table9[[#This Row],[2030]]+Table11[[#This Row],[2030]]+Table154[[#This Row],[2030]]</f>
        <v>693.92429683990133</v>
      </c>
      <c r="CL40" s="69">
        <f>Table9[[#This Row],[2031]]+Table11[[#This Row],[2031]]+Table154[[#This Row],[2031]]</f>
        <v>678.35256455567844</v>
      </c>
      <c r="CM40" s="69">
        <f>Table9[[#This Row],[2032]]+Table11[[#This Row],[2032]]+Table154[[#This Row],[2032]]</f>
        <v>648.43351490688747</v>
      </c>
      <c r="CN40" s="51"/>
      <c r="CO40" s="55"/>
    </row>
    <row r="41" spans="1:93" x14ac:dyDescent="0.35">
      <c r="B41" s="7" t="s">
        <v>5</v>
      </c>
      <c r="C41" s="74">
        <f t="shared" si="46"/>
        <v>77.600000000000009</v>
      </c>
      <c r="D41" s="55">
        <f t="shared" si="58"/>
        <v>211.46</v>
      </c>
      <c r="E41" s="55">
        <f t="shared" si="47"/>
        <v>203.70000000000002</v>
      </c>
      <c r="F41" s="55">
        <f t="shared" si="47"/>
        <v>199.82</v>
      </c>
      <c r="G41" s="55">
        <f t="shared" si="47"/>
        <v>195.94</v>
      </c>
      <c r="H41" s="55">
        <f t="shared" si="47"/>
        <v>190.12</v>
      </c>
      <c r="I41" s="55">
        <f t="shared" si="47"/>
        <v>182.36</v>
      </c>
      <c r="J41" s="51">
        <v>1263.0718990245693</v>
      </c>
      <c r="K41" s="55"/>
      <c r="L41" s="98" t="s">
        <v>5</v>
      </c>
      <c r="M41" s="69"/>
      <c r="N41" s="329">
        <f t="shared" si="48"/>
        <v>72.287638607528805</v>
      </c>
      <c r="O41" s="55">
        <f t="shared" si="10"/>
        <v>206.43423642529456</v>
      </c>
      <c r="P41" s="55">
        <f t="shared" si="11"/>
        <v>277.82707768879845</v>
      </c>
      <c r="Q41" s="55">
        <f t="shared" si="12"/>
        <v>274.51433846880076</v>
      </c>
      <c r="R41" s="55">
        <f t="shared" si="13"/>
        <v>271.5066479548417</v>
      </c>
      <c r="S41" s="55">
        <f t="shared" si="14"/>
        <v>260.64843939837471</v>
      </c>
      <c r="T41" s="13">
        <f>SUM(Table5[[#This Row],[2026]:[2032]])</f>
        <v>1363.2183785436391</v>
      </c>
      <c r="U41" s="52"/>
      <c r="V41" t="s">
        <v>5</v>
      </c>
      <c r="W41" s="96">
        <f t="shared" si="15"/>
        <v>25.866666666666674</v>
      </c>
      <c r="X41" s="13">
        <f t="shared" si="16"/>
        <v>70.48666666666665</v>
      </c>
      <c r="Y41" s="69">
        <f t="shared" si="17"/>
        <v>67.900000000000006</v>
      </c>
      <c r="Z41" s="69">
        <f t="shared" si="18"/>
        <v>66.606666666666683</v>
      </c>
      <c r="AA41" s="69">
        <f t="shared" si="19"/>
        <v>65.313333333333333</v>
      </c>
      <c r="AB41" s="69">
        <f t="shared" si="20"/>
        <v>63.373333333333335</v>
      </c>
      <c r="AC41" s="69">
        <f t="shared" si="21"/>
        <v>60.786666666666662</v>
      </c>
      <c r="AD41" s="51">
        <f t="shared" si="22"/>
        <v>421.02396634152319</v>
      </c>
      <c r="AE41" s="55"/>
      <c r="AF41" s="93" t="s">
        <v>5</v>
      </c>
      <c r="AG41" s="69">
        <f t="shared" si="49"/>
        <v>103.46666666666668</v>
      </c>
      <c r="AH41" s="13">
        <f t="shared" si="50"/>
        <v>281.94666666666666</v>
      </c>
      <c r="AI41" s="69">
        <f t="shared" si="23"/>
        <v>271.60000000000002</v>
      </c>
      <c r="AJ41" s="69">
        <f t="shared" si="24"/>
        <v>266.42666666666668</v>
      </c>
      <c r="AK41" s="69">
        <f t="shared" si="25"/>
        <v>261.25333333333333</v>
      </c>
      <c r="AL41" s="69">
        <f t="shared" si="26"/>
        <v>253.49333333333334</v>
      </c>
      <c r="AM41" s="69">
        <f t="shared" si="27"/>
        <v>243.14666666666668</v>
      </c>
      <c r="AN41" s="51">
        <f t="shared" si="28"/>
        <v>1684.0958653660925</v>
      </c>
      <c r="AO41" s="55">
        <f t="shared" si="29"/>
        <v>0</v>
      </c>
      <c r="AP41" s="98" t="s">
        <v>5</v>
      </c>
      <c r="AQ41" s="69"/>
      <c r="AR41" s="331">
        <f t="shared" si="51"/>
        <v>1.800971940862155</v>
      </c>
      <c r="AS41" s="69">
        <f t="shared" si="30"/>
        <v>138.53423642529455</v>
      </c>
      <c r="AT41" s="69">
        <f t="shared" si="31"/>
        <v>211.22041102213177</v>
      </c>
      <c r="AU41" s="69">
        <f t="shared" si="32"/>
        <v>209.20100513546743</v>
      </c>
      <c r="AV41" s="69">
        <f t="shared" si="33"/>
        <v>208.13331462150836</v>
      </c>
      <c r="AW41" s="69">
        <f t="shared" si="59"/>
        <v>199.86177273170804</v>
      </c>
      <c r="AX41" s="13">
        <f t="shared" si="52"/>
        <v>942.19441220211593</v>
      </c>
      <c r="AY41" s="52"/>
      <c r="AZ41" s="93" t="s">
        <v>5</v>
      </c>
      <c r="BA41" s="69">
        <f>Table9[[#This Row],[2026]]</f>
        <v>103.46666666666668</v>
      </c>
      <c r="BB41" s="13">
        <f>Table9[[#This Row],[2027]]+Table11[[#This Row],[2027]]</f>
        <v>283.74763860752881</v>
      </c>
      <c r="BC41" s="69">
        <f t="shared" si="53"/>
        <v>410.1342364252946</v>
      </c>
      <c r="BD41" s="69">
        <f t="shared" si="34"/>
        <v>477.64707768879845</v>
      </c>
      <c r="BE41" s="69">
        <f t="shared" si="35"/>
        <v>470.45433846880076</v>
      </c>
      <c r="BF41" s="69">
        <f t="shared" si="36"/>
        <v>461.6266479548417</v>
      </c>
      <c r="BG41" s="69">
        <f t="shared" si="37"/>
        <v>443.00843939837472</v>
      </c>
      <c r="BH41" s="51">
        <f>SUM(Table13[[#This Row],[2026]:[2032]])</f>
        <v>2650.0850452103059</v>
      </c>
      <c r="BI41" s="55">
        <f>SUM(Table13[[#This Row],[2027]:[2032]])</f>
        <v>2546.6183785436392</v>
      </c>
      <c r="BJ41" s="75">
        <f t="shared" si="38"/>
        <v>9909.8873892570482</v>
      </c>
      <c r="BK41" s="76">
        <f t="shared" si="39"/>
        <v>9711.6849201212426</v>
      </c>
      <c r="BL41" s="93" t="s">
        <v>5</v>
      </c>
      <c r="BM41" s="69">
        <f t="shared" si="54"/>
        <v>38.800000000000004</v>
      </c>
      <c r="BN41" s="13">
        <f t="shared" si="55"/>
        <v>105.72999999999999</v>
      </c>
      <c r="BO41" s="69">
        <f t="shared" si="40"/>
        <v>101.85000000000001</v>
      </c>
      <c r="BP41" s="69">
        <f t="shared" si="41"/>
        <v>99.91</v>
      </c>
      <c r="BQ41" s="69">
        <f t="shared" si="42"/>
        <v>97.97</v>
      </c>
      <c r="BR41" s="69">
        <f t="shared" si="56"/>
        <v>95.06</v>
      </c>
      <c r="BS41" s="69">
        <f t="shared" si="43"/>
        <v>91.18</v>
      </c>
      <c r="BT41" s="51">
        <f t="shared" si="57"/>
        <v>631.53594951228467</v>
      </c>
      <c r="BU41" s="55">
        <f t="shared" si="44"/>
        <v>0</v>
      </c>
      <c r="BV41" s="93" t="s">
        <v>5</v>
      </c>
      <c r="BW41" s="29">
        <f>IF($AE$13=2027,IF($AE$18&gt;0,$AE$18*(SUM($AJ$7:$AO$7)-$G$65/60-$H$65/60-$I$65/60)*$AG$18*$AA8*0.87-Table7[[#This Row],[2026]],0),IF($AE$18&gt;0,IF(($AE$18*(SUM($AJ$7:$AO$7)-$G$65/60-$H$65/60-$I$65/60)*$AG$18*$AA8*0.87/2-Table7[[#This Row],[2026]])&gt;0,$AE$18*(SUM($AJ$7:$AO$7)-$G$65/60-$H$65/60-$I$65/60)*$AG$18*$AA8*0.87/2-Table7[[#This Row],[2026]],0),0))</f>
        <v>95.137216657908539</v>
      </c>
      <c r="BX41" s="13">
        <f>IF($AE$13=2027,0,IF($AE$18&gt;0,$AE$18*(SUM($AJ$7:$AO$7)-$G$65/60-$H$65/60-$I$65/60)*$AG$18*$AA8*0.87/2-IF(Table5[[#This Row],[2027]]-Table7[[#This Row],[2027]]&gt;0,Table5[[#This Row],[2027]]-Table7[[#This Row],[2027]],0),0))</f>
        <v>119.20291138371306</v>
      </c>
      <c r="BY41" s="69"/>
      <c r="BZ41" s="69"/>
      <c r="CA41" s="69">
        <f>-Dashboard!$E$16*(SUM($AJ$7:$AO$7)-$G$65/60-$H$65/60-$I$65/60)*Dashboard!$H$16/6*$AA8</f>
        <v>-46.361641120526905</v>
      </c>
      <c r="CB41" s="69">
        <f>-Dashboard!$E$16*(SUM($AJ$7:$AO$7)-$G$65/60-$H$65/60-$I$65/60)*Dashboard!$H$16/6*$AA8</f>
        <v>-46.361641120526905</v>
      </c>
      <c r="CC41" s="69">
        <f>-Dashboard!$E$16*(SUM($AJ$7:$AO$7)-$G$65/60-$H$65/60-$I$65/60)*Dashboard!$H$16/6*$AA8</f>
        <v>-46.361641120526905</v>
      </c>
      <c r="CD41" s="51">
        <f>SUM(Table154[[#This Row],[2026]:[2032]])</f>
        <v>75.255204680040862</v>
      </c>
      <c r="CE41" s="55"/>
      <c r="CF41" s="93" t="s">
        <v>5</v>
      </c>
      <c r="CG41" s="29">
        <f t="shared" si="45"/>
        <v>198.60388332457524</v>
      </c>
      <c r="CH41" s="13">
        <f>Table9[[#This Row],[2027]]+Table11[[#This Row],[2027]]+Table154[[#This Row],[2027]]</f>
        <v>402.95054999124187</v>
      </c>
      <c r="CI41" s="69">
        <f>Table9[[#This Row],[2028]]+Table11[[#This Row],[2028]]+Table154[[#This Row],[2028]]</f>
        <v>410.1342364252946</v>
      </c>
      <c r="CJ41" s="69">
        <f>Table9[[#This Row],[2029]]+Table11[[#This Row],[2029]]+Table154[[#This Row],[2029]]</f>
        <v>477.64707768879845</v>
      </c>
      <c r="CK41" s="69">
        <f>Table9[[#This Row],[2030]]+Table11[[#This Row],[2030]]+Table154[[#This Row],[2030]]</f>
        <v>424.09269734827387</v>
      </c>
      <c r="CL41" s="69">
        <f>Table9[[#This Row],[2031]]+Table11[[#This Row],[2031]]+Table154[[#This Row],[2031]]</f>
        <v>415.26500683431482</v>
      </c>
      <c r="CM41" s="69">
        <f>Table9[[#This Row],[2032]]+Table11[[#This Row],[2032]]+Table154[[#This Row],[2032]]</f>
        <v>396.64679827784784</v>
      </c>
      <c r="CN41" s="51"/>
      <c r="CO41" s="55"/>
    </row>
    <row r="42" spans="1:93" x14ac:dyDescent="0.35">
      <c r="B42" s="7" t="s">
        <v>6</v>
      </c>
      <c r="C42" s="74">
        <f t="shared" si="46"/>
        <v>8</v>
      </c>
      <c r="D42" s="55">
        <f t="shared" si="58"/>
        <v>21.8</v>
      </c>
      <c r="E42" s="55">
        <f t="shared" si="47"/>
        <v>21</v>
      </c>
      <c r="F42" s="55">
        <f t="shared" si="47"/>
        <v>20.6</v>
      </c>
      <c r="G42" s="55">
        <f t="shared" si="47"/>
        <v>20.2</v>
      </c>
      <c r="H42" s="55">
        <f t="shared" si="47"/>
        <v>19.600000000000001</v>
      </c>
      <c r="I42" s="55">
        <f t="shared" si="47"/>
        <v>18.8</v>
      </c>
      <c r="J42" s="51">
        <v>131.12290733145167</v>
      </c>
      <c r="K42" s="55"/>
      <c r="L42" s="98" t="s">
        <v>6</v>
      </c>
      <c r="M42" s="69"/>
      <c r="N42" s="329">
        <f t="shared" si="48"/>
        <v>20.446271012532225</v>
      </c>
      <c r="O42" s="55">
        <f t="shared" si="10"/>
        <v>58.389102556424142</v>
      </c>
      <c r="P42" s="55">
        <f t="shared" si="11"/>
        <v>78.582283699794118</v>
      </c>
      <c r="Q42" s="55">
        <f t="shared" si="12"/>
        <v>77.645288589832631</v>
      </c>
      <c r="R42" s="55">
        <f t="shared" si="13"/>
        <v>76.794575292859278</v>
      </c>
      <c r="S42" s="55">
        <f t="shared" si="14"/>
        <v>73.723374197724908</v>
      </c>
      <c r="T42" s="13">
        <f>SUM(Table5[[#This Row],[2026]:[2032]])</f>
        <v>385.58089534916729</v>
      </c>
      <c r="U42" s="52"/>
      <c r="V42" t="s">
        <v>6</v>
      </c>
      <c r="W42" s="96">
        <f t="shared" si="15"/>
        <v>2.6666666666666661</v>
      </c>
      <c r="X42" s="13">
        <f t="shared" si="16"/>
        <v>7.2666666666666657</v>
      </c>
      <c r="Y42" s="69">
        <f t="shared" si="17"/>
        <v>7</v>
      </c>
      <c r="Z42" s="69">
        <f t="shared" si="18"/>
        <v>6.8666666666666671</v>
      </c>
      <c r="AA42" s="69">
        <f t="shared" si="19"/>
        <v>6.7333333333333343</v>
      </c>
      <c r="AB42" s="69">
        <f t="shared" si="20"/>
        <v>6.533333333333335</v>
      </c>
      <c r="AC42" s="69">
        <f t="shared" si="21"/>
        <v>6.2666666666666657</v>
      </c>
      <c r="AD42" s="51">
        <f t="shared" si="22"/>
        <v>43.707635777150557</v>
      </c>
      <c r="AE42" s="55"/>
      <c r="AF42" s="93" t="s">
        <v>6</v>
      </c>
      <c r="AG42" s="69">
        <f t="shared" si="49"/>
        <v>10.666666666666666</v>
      </c>
      <c r="AH42" s="13">
        <f t="shared" si="50"/>
        <v>29.066666666666666</v>
      </c>
      <c r="AI42" s="69">
        <f t="shared" si="23"/>
        <v>28</v>
      </c>
      <c r="AJ42" s="69">
        <f t="shared" si="24"/>
        <v>27.466666666666669</v>
      </c>
      <c r="AK42" s="69">
        <f t="shared" si="25"/>
        <v>26.933333333333334</v>
      </c>
      <c r="AL42" s="69">
        <f t="shared" si="26"/>
        <v>26.133333333333336</v>
      </c>
      <c r="AM42" s="69">
        <f t="shared" si="27"/>
        <v>25.066666666666666</v>
      </c>
      <c r="AN42" s="51">
        <f t="shared" si="28"/>
        <v>174.83054310860223</v>
      </c>
      <c r="AO42" s="55">
        <f t="shared" si="29"/>
        <v>0</v>
      </c>
      <c r="AP42" s="98" t="s">
        <v>6</v>
      </c>
      <c r="AQ42" s="69"/>
      <c r="AR42" s="331">
        <f t="shared" si="51"/>
        <v>13.17960434586556</v>
      </c>
      <c r="AS42" s="69">
        <f t="shared" si="30"/>
        <v>51.389102556424142</v>
      </c>
      <c r="AT42" s="69">
        <f t="shared" si="31"/>
        <v>71.715617033127444</v>
      </c>
      <c r="AU42" s="69">
        <f t="shared" si="32"/>
        <v>70.911955256499297</v>
      </c>
      <c r="AV42" s="69">
        <f t="shared" si="33"/>
        <v>70.261241959525947</v>
      </c>
      <c r="AW42" s="69">
        <f t="shared" si="59"/>
        <v>67.456707531058242</v>
      </c>
      <c r="AX42" s="13">
        <f t="shared" si="52"/>
        <v>341.87325957201676</v>
      </c>
      <c r="AY42" s="52"/>
      <c r="AZ42" s="93" t="s">
        <v>6</v>
      </c>
      <c r="BA42" s="69">
        <f>Table9[[#This Row],[2026]]</f>
        <v>10.666666666666666</v>
      </c>
      <c r="BB42" s="13">
        <f>Table9[[#This Row],[2027]]+Table11[[#This Row],[2027]]</f>
        <v>42.246271012532226</v>
      </c>
      <c r="BC42" s="69">
        <f t="shared" si="53"/>
        <v>79.389102556424149</v>
      </c>
      <c r="BD42" s="69">
        <f t="shared" si="34"/>
        <v>99.182283699794112</v>
      </c>
      <c r="BE42" s="69">
        <f t="shared" si="35"/>
        <v>97.845288589832634</v>
      </c>
      <c r="BF42" s="69">
        <f t="shared" si="36"/>
        <v>96.394575292859287</v>
      </c>
      <c r="BG42" s="69">
        <f t="shared" si="37"/>
        <v>92.523374197724905</v>
      </c>
      <c r="BH42" s="51">
        <f>SUM(Table13[[#This Row],[2026]:[2032]])</f>
        <v>518.24756201583398</v>
      </c>
      <c r="BI42" s="55">
        <f>SUM(Table13[[#This Row],[2027]:[2032]])</f>
        <v>507.58089534916735</v>
      </c>
      <c r="BJ42" s="75">
        <f t="shared" si="38"/>
        <v>9909.8873892570482</v>
      </c>
      <c r="BK42" s="76">
        <f t="shared" si="39"/>
        <v>9711.6849201212426</v>
      </c>
      <c r="BL42" s="93" t="s">
        <v>6</v>
      </c>
      <c r="BM42" s="69">
        <f t="shared" si="54"/>
        <v>4</v>
      </c>
      <c r="BN42" s="13">
        <f t="shared" si="55"/>
        <v>10.9</v>
      </c>
      <c r="BO42" s="69">
        <f t="shared" si="40"/>
        <v>10.5</v>
      </c>
      <c r="BP42" s="69">
        <f t="shared" si="41"/>
        <v>10.3</v>
      </c>
      <c r="BQ42" s="69">
        <f t="shared" si="42"/>
        <v>10.1</v>
      </c>
      <c r="BR42" s="69">
        <f t="shared" si="56"/>
        <v>9.8000000000000007</v>
      </c>
      <c r="BS42" s="69">
        <f t="shared" si="43"/>
        <v>9.4</v>
      </c>
      <c r="BT42" s="51">
        <f t="shared" si="57"/>
        <v>65.561453665725836</v>
      </c>
      <c r="BU42" s="55">
        <f t="shared" si="44"/>
        <v>0</v>
      </c>
      <c r="BV42" s="93" t="s">
        <v>6</v>
      </c>
      <c r="BW42" s="29">
        <f>IF($AE$13=2027,IF($AE$18&gt;0,$AE$18*(SUM($AJ$7:$AO$7)-$G$65/60-$H$65/60-$I$65/60)*$AG$18*$AA9*0.87-Table7[[#This Row],[2026]],0),IF($AE$18&gt;0,IF(($AE$18*(SUM($AJ$7:$AO$7)-$G$65/60-$H$65/60-$I$65/60)*$AG$18*$AA9*0.87/2-Table7[[#This Row],[2026]])&gt;0,$AE$18*(SUM($AJ$7:$AO$7)-$G$65/60-$H$65/60-$I$65/60)*$AG$18*$AA9*0.87/2-Table7[[#This Row],[2026]],0),0))</f>
        <v>31.558800365886498</v>
      </c>
      <c r="BX42" s="13">
        <f>IF($AE$13=2027,0,IF($AE$18&gt;0,$AE$18*(SUM($AJ$7:$AO$7)-$G$65/60-$H$65/60-$I$65/60)*$AG$18*$AA9*0.87/2-IF(Table5[[#This Row],[2027]]-Table7[[#This Row],[2027]]&gt;0,Table5[[#This Row],[2027]]-Table7[[#This Row],[2027]],0),0))</f>
        <v>21.045862686687602</v>
      </c>
      <c r="BY42" s="69"/>
      <c r="BZ42" s="69"/>
      <c r="CA42" s="69">
        <f>-Dashboard!$E$16*(SUM($AJ$7:$AO$7)-$G$65/60-$H$65/60-$I$65/60)*Dashboard!$H$16/6*$AA9</f>
        <v>-13.113205759598911</v>
      </c>
      <c r="CB42" s="69">
        <f>-Dashboard!$E$16*(SUM($AJ$7:$AO$7)-$G$65/60-$H$65/60-$I$65/60)*Dashboard!$H$16/6*$AA9</f>
        <v>-13.113205759598911</v>
      </c>
      <c r="CC42" s="69">
        <f>-Dashboard!$E$16*(SUM($AJ$7:$AO$7)-$G$65/60-$H$65/60-$I$65/60)*Dashboard!$H$16/6*$AA9</f>
        <v>-13.113205759598911</v>
      </c>
      <c r="CD42" s="51">
        <f>SUM(Table154[[#This Row],[2026]:[2032]])</f>
        <v>13.265045773777361</v>
      </c>
      <c r="CE42" s="55"/>
      <c r="CF42" s="93" t="s">
        <v>6</v>
      </c>
      <c r="CG42" s="29">
        <f t="shared" si="45"/>
        <v>42.225467032553162</v>
      </c>
      <c r="CH42" s="13">
        <f>Table9[[#This Row],[2027]]+Table11[[#This Row],[2027]]+Table154[[#This Row],[2027]]</f>
        <v>63.292133699219832</v>
      </c>
      <c r="CI42" s="69">
        <f>Table9[[#This Row],[2028]]+Table11[[#This Row],[2028]]+Table154[[#This Row],[2028]]</f>
        <v>79.389102556424149</v>
      </c>
      <c r="CJ42" s="69">
        <f>Table9[[#This Row],[2029]]+Table11[[#This Row],[2029]]+Table154[[#This Row],[2029]]</f>
        <v>99.182283699794112</v>
      </c>
      <c r="CK42" s="69">
        <f>Table9[[#This Row],[2030]]+Table11[[#This Row],[2030]]+Table154[[#This Row],[2030]]</f>
        <v>84.732082830233722</v>
      </c>
      <c r="CL42" s="69">
        <f>Table9[[#This Row],[2031]]+Table11[[#This Row],[2031]]+Table154[[#This Row],[2031]]</f>
        <v>83.281369533260374</v>
      </c>
      <c r="CM42" s="69">
        <f>Table9[[#This Row],[2032]]+Table11[[#This Row],[2032]]+Table154[[#This Row],[2032]]</f>
        <v>79.410168438125993</v>
      </c>
      <c r="CN42" s="51"/>
      <c r="CO42" s="55"/>
    </row>
    <row r="43" spans="1:93" x14ac:dyDescent="0.35">
      <c r="B43" s="7" t="s">
        <v>7</v>
      </c>
      <c r="C43" s="74">
        <f t="shared" si="46"/>
        <v>96</v>
      </c>
      <c r="D43" s="55">
        <f t="shared" si="58"/>
        <v>261.60000000000002</v>
      </c>
      <c r="E43" s="55">
        <f t="shared" si="47"/>
        <v>252</v>
      </c>
      <c r="F43" s="55">
        <f t="shared" si="47"/>
        <v>247.20000000000002</v>
      </c>
      <c r="G43" s="55">
        <f t="shared" si="47"/>
        <v>242.4</v>
      </c>
      <c r="H43" s="55">
        <f t="shared" si="47"/>
        <v>235.20000000000002</v>
      </c>
      <c r="I43" s="55">
        <f t="shared" si="47"/>
        <v>225.6</v>
      </c>
      <c r="J43" s="51">
        <v>1561.6344733929345</v>
      </c>
      <c r="K43" s="55"/>
      <c r="L43" s="98" t="s">
        <v>7</v>
      </c>
      <c r="M43" s="69"/>
      <c r="N43" s="329">
        <f t="shared" si="48"/>
        <v>269.98316478024645</v>
      </c>
      <c r="O43" s="55">
        <f t="shared" si="10"/>
        <v>770.99998758695028</v>
      </c>
      <c r="P43" s="55">
        <f t="shared" si="11"/>
        <v>1037.6412224960548</v>
      </c>
      <c r="Q43" s="55">
        <f t="shared" si="12"/>
        <v>1025.2686531891156</v>
      </c>
      <c r="R43" s="55">
        <f t="shared" si="13"/>
        <v>1014.0353936819553</v>
      </c>
      <c r="S43" s="55">
        <f t="shared" si="14"/>
        <v>973.48166186294998</v>
      </c>
      <c r="T43" s="13">
        <f>SUM(Table5[[#This Row],[2026]:[2032]])</f>
        <v>5091.4100835972731</v>
      </c>
      <c r="U43" s="52"/>
      <c r="V43" t="s">
        <v>7</v>
      </c>
      <c r="W43" s="96">
        <f t="shared" si="15"/>
        <v>32</v>
      </c>
      <c r="X43" s="13">
        <f t="shared" si="16"/>
        <v>87.199999999999989</v>
      </c>
      <c r="Y43" s="69">
        <f t="shared" si="17"/>
        <v>84</v>
      </c>
      <c r="Z43" s="69">
        <f t="shared" si="18"/>
        <v>82.4</v>
      </c>
      <c r="AA43" s="69">
        <f t="shared" si="19"/>
        <v>80.799999999999983</v>
      </c>
      <c r="AB43" s="69">
        <f t="shared" si="20"/>
        <v>78.400000000000006</v>
      </c>
      <c r="AC43" s="69">
        <f t="shared" si="21"/>
        <v>75.200000000000017</v>
      </c>
      <c r="AD43" s="51">
        <f t="shared" si="22"/>
        <v>520.54482446431166</v>
      </c>
      <c r="AE43" s="55"/>
      <c r="AF43" s="93" t="s">
        <v>7</v>
      </c>
      <c r="AG43" s="69">
        <f t="shared" si="49"/>
        <v>128</v>
      </c>
      <c r="AH43" s="13">
        <f t="shared" si="50"/>
        <v>348.8</v>
      </c>
      <c r="AI43" s="69">
        <f t="shared" si="23"/>
        <v>336</v>
      </c>
      <c r="AJ43" s="69">
        <f t="shared" si="24"/>
        <v>329.6</v>
      </c>
      <c r="AK43" s="69">
        <f t="shared" si="25"/>
        <v>323.2</v>
      </c>
      <c r="AL43" s="69">
        <f t="shared" si="26"/>
        <v>313.60000000000002</v>
      </c>
      <c r="AM43" s="69">
        <f t="shared" si="27"/>
        <v>300.8</v>
      </c>
      <c r="AN43" s="51">
        <f t="shared" si="28"/>
        <v>2082.1792978572462</v>
      </c>
      <c r="AO43" s="55">
        <f t="shared" si="29"/>
        <v>0</v>
      </c>
      <c r="AP43" s="98" t="s">
        <v>7</v>
      </c>
      <c r="AQ43" s="69"/>
      <c r="AR43" s="331">
        <f t="shared" si="51"/>
        <v>182.78316478024647</v>
      </c>
      <c r="AS43" s="69">
        <f t="shared" si="30"/>
        <v>686.99998758695028</v>
      </c>
      <c r="AT43" s="69">
        <f t="shared" si="31"/>
        <v>955.24122249605477</v>
      </c>
      <c r="AU43" s="69">
        <f t="shared" si="32"/>
        <v>944.46865318911568</v>
      </c>
      <c r="AV43" s="69">
        <f t="shared" si="33"/>
        <v>935.63539368195529</v>
      </c>
      <c r="AW43" s="69">
        <f t="shared" si="59"/>
        <v>898.28166186294993</v>
      </c>
      <c r="AX43" s="13">
        <f t="shared" si="52"/>
        <v>4570.865259132961</v>
      </c>
      <c r="AY43" s="52"/>
      <c r="AZ43" s="93" t="s">
        <v>7</v>
      </c>
      <c r="BA43" s="69">
        <f>Table9[[#This Row],[2026]]</f>
        <v>128</v>
      </c>
      <c r="BB43" s="13">
        <f>Table9[[#This Row],[2027]]+Table11[[#This Row],[2027]]</f>
        <v>531.58316478024653</v>
      </c>
      <c r="BC43" s="69">
        <f t="shared" si="53"/>
        <v>1022.9999875869503</v>
      </c>
      <c r="BD43" s="69">
        <f t="shared" si="34"/>
        <v>1284.8412224960548</v>
      </c>
      <c r="BE43" s="69">
        <f t="shared" si="35"/>
        <v>1267.6686531891157</v>
      </c>
      <c r="BF43" s="69">
        <f t="shared" si="36"/>
        <v>1249.2353936819552</v>
      </c>
      <c r="BG43" s="69">
        <f t="shared" si="37"/>
        <v>1199.0816618629499</v>
      </c>
      <c r="BH43" s="51">
        <f>SUM(Table13[[#This Row],[2026]:[2032]])</f>
        <v>6683.4100835972722</v>
      </c>
      <c r="BI43" s="55">
        <f>SUM(Table13[[#This Row],[2027]:[2032]])</f>
        <v>6555.4100835972722</v>
      </c>
      <c r="BJ43" s="75">
        <f t="shared" si="38"/>
        <v>9909.8873892570482</v>
      </c>
      <c r="BK43" s="76">
        <f t="shared" si="39"/>
        <v>9711.6849201212426</v>
      </c>
      <c r="BL43" s="93" t="s">
        <v>7</v>
      </c>
      <c r="BM43" s="69">
        <f t="shared" si="54"/>
        <v>48</v>
      </c>
      <c r="BN43" s="13">
        <f t="shared" si="55"/>
        <v>130.80000000000001</v>
      </c>
      <c r="BO43" s="69">
        <f t="shared" si="40"/>
        <v>126</v>
      </c>
      <c r="BP43" s="69">
        <f t="shared" si="41"/>
        <v>123.60000000000001</v>
      </c>
      <c r="BQ43" s="69">
        <f t="shared" si="42"/>
        <v>121.19999999999999</v>
      </c>
      <c r="BR43" s="69">
        <f t="shared" si="56"/>
        <v>117.60000000000001</v>
      </c>
      <c r="BS43" s="69">
        <f t="shared" si="43"/>
        <v>112.80000000000001</v>
      </c>
      <c r="BT43" s="51">
        <f t="shared" si="57"/>
        <v>780.81723669646726</v>
      </c>
      <c r="BU43" s="55">
        <f t="shared" si="44"/>
        <v>0</v>
      </c>
      <c r="BV43" s="93" t="s">
        <v>7</v>
      </c>
      <c r="BW43" s="29">
        <f>IF($AE$13=2027,IF($AE$18&gt;0,$AE$18*(SUM($AJ$7:$AO$7)-$G$65/60-$H$65/60-$I$65/60)*$AG$18*$AA10*0.87-Table7[[#This Row],[2026]],0),IF($AE$18&gt;0,IF(($AE$18*(SUM($AJ$7:$AO$7)-$G$65/60-$H$65/60-$I$65/60)*$AG$18*$AA10*0.87/2-Table7[[#This Row],[2026]])&gt;0,$AE$18*(SUM($AJ$7:$AO$7)-$G$65/60-$H$65/60-$I$65/60)*$AG$18*$AA10*0.87/2-Table7[[#This Row],[2026]],0),0))</f>
        <v>419.93081417472126</v>
      </c>
      <c r="BX43" s="13">
        <f>IF($AE$13=2027,0,IF($AE$18&gt;0,$AE$18*(SUM($AJ$7:$AO$7)-$G$65/60-$H$65/60-$I$65/60)*$AG$18*$AA10*0.87/2-IF(Table5[[#This Row],[2027]]-Table7[[#This Row],[2027]]&gt;0,Table5[[#This Row],[2027]]-Table7[[#This Row],[2027]],0),0))</f>
        <v>269.1476493944748</v>
      </c>
      <c r="BY43" s="69"/>
      <c r="BZ43" s="69"/>
      <c r="CA43" s="69">
        <f>-Dashboard!$E$16*(SUM($AJ$7:$AO$7)-$G$65/60-$H$65/60-$I$65/60)*Dashboard!$H$16/6*$AA10</f>
        <v>-173.15356864931849</v>
      </c>
      <c r="CB43" s="69">
        <f>-Dashboard!$E$16*(SUM($AJ$7:$AO$7)-$G$65/60-$H$65/60-$I$65/60)*Dashboard!$H$16/6*$AA10</f>
        <v>-173.15356864931849</v>
      </c>
      <c r="CC43" s="69">
        <f>-Dashboard!$E$16*(SUM($AJ$7:$AO$7)-$G$65/60-$H$65/60-$I$65/60)*Dashboard!$H$16/6*$AA10</f>
        <v>-173.15356864931849</v>
      </c>
      <c r="CD43" s="51">
        <f>SUM(Table154[[#This Row],[2026]:[2032]])</f>
        <v>169.61775762124066</v>
      </c>
      <c r="CE43" s="55"/>
      <c r="CF43" s="93" t="s">
        <v>7</v>
      </c>
      <c r="CG43" s="29">
        <f t="shared" si="45"/>
        <v>547.93081417472126</v>
      </c>
      <c r="CH43" s="13">
        <f>Table9[[#This Row],[2027]]+Table11[[#This Row],[2027]]+Table154[[#This Row],[2027]]</f>
        <v>800.73081417472133</v>
      </c>
      <c r="CI43" s="69">
        <f>Table9[[#This Row],[2028]]+Table11[[#This Row],[2028]]+Table154[[#This Row],[2028]]</f>
        <v>1022.9999875869503</v>
      </c>
      <c r="CJ43" s="69">
        <f>Table9[[#This Row],[2029]]+Table11[[#This Row],[2029]]+Table154[[#This Row],[2029]]</f>
        <v>1284.8412224960548</v>
      </c>
      <c r="CK43" s="69">
        <f>Table9[[#This Row],[2030]]+Table11[[#This Row],[2030]]+Table154[[#This Row],[2030]]</f>
        <v>1094.5150845397973</v>
      </c>
      <c r="CL43" s="69">
        <f>Table9[[#This Row],[2031]]+Table11[[#This Row],[2031]]+Table154[[#This Row],[2031]]</f>
        <v>1076.081825032637</v>
      </c>
      <c r="CM43" s="69">
        <f>Table9[[#This Row],[2032]]+Table11[[#This Row],[2032]]+Table154[[#This Row],[2032]]</f>
        <v>1025.9280932136314</v>
      </c>
      <c r="CN43" s="51"/>
      <c r="CO43" s="55"/>
    </row>
    <row r="44" spans="1:93" x14ac:dyDescent="0.35">
      <c r="B44" s="7" t="s">
        <v>8</v>
      </c>
      <c r="C44" s="74">
        <f t="shared" si="46"/>
        <v>20</v>
      </c>
      <c r="D44" s="55">
        <f t="shared" si="58"/>
        <v>54.5</v>
      </c>
      <c r="E44" s="55">
        <f t="shared" si="47"/>
        <v>52.5</v>
      </c>
      <c r="F44" s="55">
        <f t="shared" si="47"/>
        <v>51.5</v>
      </c>
      <c r="G44" s="55">
        <f t="shared" si="47"/>
        <v>50.5</v>
      </c>
      <c r="H44" s="55">
        <f t="shared" si="47"/>
        <v>49</v>
      </c>
      <c r="I44" s="55">
        <f t="shared" si="47"/>
        <v>47</v>
      </c>
      <c r="J44" s="51">
        <v>325.01551244357609</v>
      </c>
      <c r="K44" s="55"/>
      <c r="L44" s="98" t="s">
        <v>8</v>
      </c>
      <c r="M44" s="69"/>
      <c r="N44" s="329">
        <f t="shared" si="48"/>
        <v>127.07421461438574</v>
      </c>
      <c r="O44" s="55">
        <f t="shared" si="10"/>
        <v>362.89010083298803</v>
      </c>
      <c r="P44" s="55">
        <f t="shared" si="11"/>
        <v>488.39135398506414</v>
      </c>
      <c r="Q44" s="55">
        <f t="shared" si="12"/>
        <v>482.56790003481109</v>
      </c>
      <c r="R44" s="55">
        <f t="shared" si="13"/>
        <v>477.28069025417955</v>
      </c>
      <c r="S44" s="55">
        <f t="shared" si="14"/>
        <v>458.19307927377969</v>
      </c>
      <c r="T44" s="13">
        <f>SUM(Table5[[#This Row],[2026]:[2032]])</f>
        <v>2396.3973389952084</v>
      </c>
      <c r="U44" s="52"/>
      <c r="V44" t="s">
        <v>8</v>
      </c>
      <c r="W44" s="96">
        <f t="shared" si="15"/>
        <v>6.6666666666666679</v>
      </c>
      <c r="X44" s="13">
        <f t="shared" si="16"/>
        <v>18.166666666666671</v>
      </c>
      <c r="Y44" s="69">
        <f t="shared" si="17"/>
        <v>17.5</v>
      </c>
      <c r="Z44" s="69">
        <f t="shared" si="18"/>
        <v>17.166666666666671</v>
      </c>
      <c r="AA44" s="69">
        <f t="shared" si="19"/>
        <v>16.833333333333329</v>
      </c>
      <c r="AB44" s="69">
        <f t="shared" si="20"/>
        <v>16.333333333333329</v>
      </c>
      <c r="AC44" s="69">
        <f t="shared" si="21"/>
        <v>15.666666666666664</v>
      </c>
      <c r="AD44" s="51">
        <f t="shared" si="22"/>
        <v>108.33850414785871</v>
      </c>
      <c r="AE44" s="55"/>
      <c r="AF44" s="93" t="s">
        <v>8</v>
      </c>
      <c r="AG44" s="69">
        <f t="shared" si="49"/>
        <v>26.666666666666668</v>
      </c>
      <c r="AH44" s="13">
        <f t="shared" si="50"/>
        <v>72.666666666666671</v>
      </c>
      <c r="AI44" s="69">
        <f t="shared" si="23"/>
        <v>70</v>
      </c>
      <c r="AJ44" s="69">
        <f t="shared" si="24"/>
        <v>68.666666666666671</v>
      </c>
      <c r="AK44" s="69">
        <f t="shared" si="25"/>
        <v>67.333333333333329</v>
      </c>
      <c r="AL44" s="69">
        <f t="shared" si="26"/>
        <v>65.333333333333329</v>
      </c>
      <c r="AM44" s="69">
        <f t="shared" si="27"/>
        <v>62.666666666666664</v>
      </c>
      <c r="AN44" s="51">
        <f t="shared" si="28"/>
        <v>433.3540165914348</v>
      </c>
      <c r="AO44" s="55">
        <f t="shared" si="29"/>
        <v>0</v>
      </c>
      <c r="AP44" s="98" t="s">
        <v>8</v>
      </c>
      <c r="AQ44" s="69"/>
      <c r="AR44" s="331">
        <f t="shared" si="51"/>
        <v>108.90754794771907</v>
      </c>
      <c r="AS44" s="69">
        <f t="shared" si="30"/>
        <v>345.39010083298803</v>
      </c>
      <c r="AT44" s="69">
        <f t="shared" si="31"/>
        <v>471.22468731839746</v>
      </c>
      <c r="AU44" s="69">
        <f t="shared" si="32"/>
        <v>465.73456670147777</v>
      </c>
      <c r="AV44" s="69">
        <f t="shared" si="33"/>
        <v>460.94735692084623</v>
      </c>
      <c r="AW44" s="69">
        <f t="shared" si="59"/>
        <v>442.526412607113</v>
      </c>
      <c r="AX44" s="13">
        <f t="shared" si="52"/>
        <v>2288.0588348473498</v>
      </c>
      <c r="AY44" s="52"/>
      <c r="AZ44" s="93" t="s">
        <v>8</v>
      </c>
      <c r="BA44" s="69">
        <f>Table9[[#This Row],[2026]]</f>
        <v>26.666666666666668</v>
      </c>
      <c r="BB44" s="13">
        <f>Table9[[#This Row],[2027]]+Table11[[#This Row],[2027]]</f>
        <v>181.57421461438574</v>
      </c>
      <c r="BC44" s="69">
        <f t="shared" si="53"/>
        <v>415.39010083298803</v>
      </c>
      <c r="BD44" s="69">
        <f t="shared" si="34"/>
        <v>539.89135398506414</v>
      </c>
      <c r="BE44" s="69">
        <f t="shared" si="35"/>
        <v>533.06790003481115</v>
      </c>
      <c r="BF44" s="69">
        <f t="shared" si="36"/>
        <v>526.28069025417949</v>
      </c>
      <c r="BG44" s="69">
        <f t="shared" si="37"/>
        <v>505.19307927377969</v>
      </c>
      <c r="BH44" s="51">
        <f>SUM(Table13[[#This Row],[2026]:[2032]])</f>
        <v>2728.0640056618749</v>
      </c>
      <c r="BI44" s="55">
        <f>SUM(Table13[[#This Row],[2027]:[2032]])</f>
        <v>2701.3973389952084</v>
      </c>
      <c r="BJ44" s="75">
        <f t="shared" si="38"/>
        <v>9909.8873892570482</v>
      </c>
      <c r="BK44" s="76">
        <f t="shared" si="39"/>
        <v>9711.6849201212426</v>
      </c>
      <c r="BL44" s="93" t="s">
        <v>8</v>
      </c>
      <c r="BM44" s="69">
        <f t="shared" si="54"/>
        <v>10</v>
      </c>
      <c r="BN44" s="13">
        <f t="shared" si="55"/>
        <v>27.25</v>
      </c>
      <c r="BO44" s="69">
        <f t="shared" si="40"/>
        <v>26.25</v>
      </c>
      <c r="BP44" s="69">
        <f t="shared" si="41"/>
        <v>25.75</v>
      </c>
      <c r="BQ44" s="69">
        <f t="shared" si="42"/>
        <v>25.25</v>
      </c>
      <c r="BR44" s="69">
        <f t="shared" si="56"/>
        <v>24.5</v>
      </c>
      <c r="BS44" s="69">
        <f t="shared" si="43"/>
        <v>23.5</v>
      </c>
      <c r="BT44" s="51">
        <f t="shared" si="57"/>
        <v>162.50775622178804</v>
      </c>
      <c r="BU44" s="55">
        <f t="shared" si="44"/>
        <v>0</v>
      </c>
      <c r="BV44" s="93" t="s">
        <v>8</v>
      </c>
      <c r="BW44" s="29">
        <f>IF($AE$13=2027,IF($AE$18&gt;0,$AE$18*(SUM($AJ$7:$AO$7)-$G$65/60-$H$65/60-$I$65/60)*$AG$18*$AA11*0.87-Table7[[#This Row],[2026]],0),IF($AE$18&gt;0,IF(($AE$18*(SUM($AJ$7:$AO$7)-$G$65/60-$H$65/60-$I$65/60)*$AG$18*$AA11*0.87/2-Table7[[#This Row],[2026]])&gt;0,$AE$18*(SUM($AJ$7:$AO$7)-$G$65/60-$H$65/60-$I$65/60)*$AG$18*$AA11*0.87/2-Table7[[#This Row],[2026]],0),0))</f>
        <v>206.04568270532809</v>
      </c>
      <c r="BX44" s="13">
        <f>IF($AE$13=2027,0,IF($AE$18&gt;0,$AE$18*(SUM($AJ$7:$AO$7)-$G$65/60-$H$65/60-$I$65/60)*$AG$18*$AA11*0.87/2-IF(Table5[[#This Row],[2027]]-Table7[[#This Row],[2027]]&gt;0,Table5[[#This Row],[2027]]-Table7[[#This Row],[2027]],0),0))</f>
        <v>103.80480142427568</v>
      </c>
      <c r="BY44" s="69"/>
      <c r="BZ44" s="69"/>
      <c r="CA44" s="69">
        <f>-Dashboard!$E$16*(SUM($AJ$7:$AO$7)-$G$65/60-$H$65/60-$I$65/60)*Dashboard!$H$16/6*$AA11</f>
        <v>-81.498984433714469</v>
      </c>
      <c r="CB44" s="69">
        <f>-Dashboard!$E$16*(SUM($AJ$7:$AO$7)-$G$65/60-$H$65/60-$I$65/60)*Dashboard!$H$16/6*$AA11</f>
        <v>-81.498984433714469</v>
      </c>
      <c r="CC44" s="69">
        <f>-Dashboard!$E$16*(SUM($AJ$7:$AO$7)-$G$65/60-$H$65/60-$I$65/60)*Dashboard!$H$16/6*$AA11</f>
        <v>-81.498984433714469</v>
      </c>
      <c r="CD44" s="51">
        <f>SUM(Table154[[#This Row],[2026]:[2032]])</f>
        <v>65.353530828460379</v>
      </c>
      <c r="CE44" s="55"/>
      <c r="CF44" s="93" t="s">
        <v>8</v>
      </c>
      <c r="CG44" s="29">
        <f t="shared" si="45"/>
        <v>232.71234937199475</v>
      </c>
      <c r="CH44" s="13">
        <f>Table9[[#This Row],[2027]]+Table11[[#This Row],[2027]]+Table154[[#This Row],[2027]]</f>
        <v>285.3790160386614</v>
      </c>
      <c r="CI44" s="69">
        <f>Table9[[#This Row],[2028]]+Table11[[#This Row],[2028]]+Table154[[#This Row],[2028]]</f>
        <v>415.39010083298803</v>
      </c>
      <c r="CJ44" s="69">
        <f>Table9[[#This Row],[2029]]+Table11[[#This Row],[2029]]+Table154[[#This Row],[2029]]</f>
        <v>539.89135398506414</v>
      </c>
      <c r="CK44" s="69">
        <f>Table9[[#This Row],[2030]]+Table11[[#This Row],[2030]]+Table154[[#This Row],[2030]]</f>
        <v>451.56891560109671</v>
      </c>
      <c r="CL44" s="69">
        <f>Table9[[#This Row],[2031]]+Table11[[#This Row],[2031]]+Table154[[#This Row],[2031]]</f>
        <v>444.78170582046516</v>
      </c>
      <c r="CM44" s="69">
        <f>Table9[[#This Row],[2032]]+Table11[[#This Row],[2032]]+Table154[[#This Row],[2032]]</f>
        <v>423.69409484006519</v>
      </c>
      <c r="CN44" s="51"/>
      <c r="CO44" s="55"/>
    </row>
    <row r="45" spans="1:93" x14ac:dyDescent="0.35">
      <c r="B45" s="7" t="s">
        <v>9</v>
      </c>
      <c r="C45" s="74">
        <f t="shared" si="46"/>
        <v>11.6</v>
      </c>
      <c r="D45" s="55">
        <f t="shared" si="58"/>
        <v>31.61</v>
      </c>
      <c r="E45" s="55">
        <f t="shared" si="47"/>
        <v>30.45</v>
      </c>
      <c r="F45" s="55">
        <f t="shared" si="47"/>
        <v>29.869999999999997</v>
      </c>
      <c r="G45" s="55">
        <f t="shared" si="47"/>
        <v>29.29</v>
      </c>
      <c r="H45" s="55">
        <f t="shared" si="47"/>
        <v>28.419999999999998</v>
      </c>
      <c r="I45" s="55">
        <f t="shared" si="47"/>
        <v>27.259999999999998</v>
      </c>
      <c r="J45" s="51">
        <v>186.2445707781124</v>
      </c>
      <c r="K45" s="55"/>
      <c r="L45" s="98" t="s">
        <v>9</v>
      </c>
      <c r="M45" s="69"/>
      <c r="N45" s="329">
        <f t="shared" si="48"/>
        <v>27.410919088938805</v>
      </c>
      <c r="O45" s="55">
        <f t="shared" si="10"/>
        <v>78.278281886652621</v>
      </c>
      <c r="P45" s="55">
        <f t="shared" si="11"/>
        <v>105.34990067376209</v>
      </c>
      <c r="Q45" s="55">
        <f t="shared" si="12"/>
        <v>104.09373532556032</v>
      </c>
      <c r="R45" s="55">
        <f t="shared" si="13"/>
        <v>102.95324211107987</v>
      </c>
      <c r="S45" s="55">
        <f t="shared" si="14"/>
        <v>98.835892562451235</v>
      </c>
      <c r="T45" s="13">
        <f>SUM(Table5[[#This Row],[2026]:[2032]])</f>
        <v>516.92197164844492</v>
      </c>
      <c r="U45" s="52"/>
      <c r="V45" t="s">
        <v>9</v>
      </c>
      <c r="W45" s="96">
        <f t="shared" si="15"/>
        <v>3.8666666666666671</v>
      </c>
      <c r="X45" s="13">
        <f t="shared" si="16"/>
        <v>10.536666666666669</v>
      </c>
      <c r="Y45" s="69">
        <f t="shared" si="17"/>
        <v>10.150000000000002</v>
      </c>
      <c r="Z45" s="69">
        <f t="shared" si="18"/>
        <v>9.9566666666666634</v>
      </c>
      <c r="AA45" s="69">
        <f t="shared" si="19"/>
        <v>9.7633333333333354</v>
      </c>
      <c r="AB45" s="69">
        <f t="shared" si="20"/>
        <v>9.4733333333333327</v>
      </c>
      <c r="AC45" s="69">
        <f t="shared" si="21"/>
        <v>9.086666666666666</v>
      </c>
      <c r="AD45" s="51">
        <f t="shared" si="22"/>
        <v>62.081523592704144</v>
      </c>
      <c r="AE45" s="55"/>
      <c r="AF45" s="93" t="s">
        <v>9</v>
      </c>
      <c r="AG45" s="69">
        <f t="shared" si="49"/>
        <v>15.466666666666667</v>
      </c>
      <c r="AH45" s="13">
        <f t="shared" si="50"/>
        <v>42.146666666666668</v>
      </c>
      <c r="AI45" s="69">
        <f t="shared" si="23"/>
        <v>40.6</v>
      </c>
      <c r="AJ45" s="69">
        <f t="shared" si="24"/>
        <v>39.826666666666661</v>
      </c>
      <c r="AK45" s="69">
        <f t="shared" si="25"/>
        <v>39.053333333333335</v>
      </c>
      <c r="AL45" s="69">
        <f t="shared" si="26"/>
        <v>37.893333333333331</v>
      </c>
      <c r="AM45" s="69">
        <f t="shared" si="27"/>
        <v>36.346666666666664</v>
      </c>
      <c r="AN45" s="51">
        <f t="shared" si="28"/>
        <v>248.32609437081655</v>
      </c>
      <c r="AO45" s="55">
        <f t="shared" si="29"/>
        <v>0</v>
      </c>
      <c r="AP45" s="98" t="s">
        <v>9</v>
      </c>
      <c r="AQ45" s="69"/>
      <c r="AR45" s="331">
        <f t="shared" si="51"/>
        <v>16.874252422272136</v>
      </c>
      <c r="AS45" s="69">
        <f t="shared" si="30"/>
        <v>68.128281886652616</v>
      </c>
      <c r="AT45" s="69">
        <f t="shared" si="31"/>
        <v>95.39323400709543</v>
      </c>
      <c r="AU45" s="69">
        <f t="shared" si="32"/>
        <v>94.330401992226982</v>
      </c>
      <c r="AV45" s="69">
        <f t="shared" si="33"/>
        <v>93.479908777746545</v>
      </c>
      <c r="AW45" s="69">
        <f t="shared" si="59"/>
        <v>89.749225895784576</v>
      </c>
      <c r="AX45" s="13">
        <f t="shared" si="52"/>
        <v>454.84044805574081</v>
      </c>
      <c r="AY45" s="52"/>
      <c r="AZ45" s="93" t="s">
        <v>9</v>
      </c>
      <c r="BA45" s="69">
        <f>Table9[[#This Row],[2026]]</f>
        <v>15.466666666666667</v>
      </c>
      <c r="BB45" s="13">
        <f>Table9[[#This Row],[2027]]+Table11[[#This Row],[2027]]</f>
        <v>59.020919088938804</v>
      </c>
      <c r="BC45" s="69">
        <f t="shared" si="53"/>
        <v>108.72828188665262</v>
      </c>
      <c r="BD45" s="69">
        <f t="shared" si="34"/>
        <v>135.21990067376208</v>
      </c>
      <c r="BE45" s="69">
        <f t="shared" si="35"/>
        <v>133.38373532556031</v>
      </c>
      <c r="BF45" s="69">
        <f t="shared" si="36"/>
        <v>131.37324211107986</v>
      </c>
      <c r="BG45" s="69">
        <f t="shared" si="37"/>
        <v>126.09589256245124</v>
      </c>
      <c r="BH45" s="51">
        <f>SUM(Table13[[#This Row],[2026]:[2032]])</f>
        <v>709.2886383151116</v>
      </c>
      <c r="BI45" s="55">
        <f>SUM(Table13[[#This Row],[2027]:[2032]])</f>
        <v>693.82197164844501</v>
      </c>
      <c r="BJ45" s="75">
        <f t="shared" si="38"/>
        <v>9909.8873892570482</v>
      </c>
      <c r="BK45" s="76">
        <f t="shared" si="39"/>
        <v>9711.6849201212426</v>
      </c>
      <c r="BL45" s="93" t="s">
        <v>9</v>
      </c>
      <c r="BM45" s="69">
        <f t="shared" si="54"/>
        <v>5.8</v>
      </c>
      <c r="BN45" s="13">
        <f t="shared" si="55"/>
        <v>15.805</v>
      </c>
      <c r="BO45" s="69">
        <f t="shared" si="40"/>
        <v>15.225000000000001</v>
      </c>
      <c r="BP45" s="69">
        <f t="shared" si="41"/>
        <v>14.934999999999999</v>
      </c>
      <c r="BQ45" s="69">
        <f t="shared" si="42"/>
        <v>14.645</v>
      </c>
      <c r="BR45" s="69">
        <f t="shared" si="56"/>
        <v>14.209999999999999</v>
      </c>
      <c r="BS45" s="69">
        <f t="shared" si="43"/>
        <v>13.629999999999999</v>
      </c>
      <c r="BT45" s="51">
        <f t="shared" si="57"/>
        <v>93.122285389056202</v>
      </c>
      <c r="BU45" s="55">
        <f t="shared" si="44"/>
        <v>0</v>
      </c>
      <c r="BV45" s="93" t="s">
        <v>9</v>
      </c>
      <c r="BW45" s="29">
        <f>IF($AE$13=2027,IF($AE$18&gt;0,$AE$18*(SUM($AJ$7:$AO$7)-$G$65/60-$H$65/60-$I$65/60)*$AG$18*$AA12*0.87-Table7[[#This Row],[2026]],0),IF($AE$18&gt;0,IF(($AE$18*(SUM($AJ$7:$AO$7)-$G$65/60-$H$65/60-$I$65/60)*$AG$18*$AA12*0.87/2-Table7[[#This Row],[2026]])&gt;0,$AE$18*(SUM($AJ$7:$AO$7)-$G$65/60-$H$65/60-$I$65/60)*$AG$18*$AA12*0.87/2-Table7[[#This Row],[2026]],0),0))</f>
        <v>42.017079422555746</v>
      </c>
      <c r="BX45" s="13">
        <f>IF($AE$13=2027,0,IF($AE$18&gt;0,$AE$18*(SUM($AJ$7:$AO$7)-$G$65/60-$H$65/60-$I$65/60)*$AG$18*$AA12*0.87/2-IF(Table5[[#This Row],[2027]]-Table7[[#This Row],[2027]]&gt;0,Table5[[#This Row],[2027]]-Table7[[#This Row],[2027]],0),0))</f>
        <v>29.009493666950277</v>
      </c>
      <c r="BY45" s="69"/>
      <c r="BZ45" s="69"/>
      <c r="CA45" s="69">
        <f>-Dashboard!$E$16*(SUM($AJ$7:$AO$7)-$G$65/60-$H$65/60-$I$65/60)*Dashboard!$H$16/6*$AA12</f>
        <v>-17.579979344529661</v>
      </c>
      <c r="CB45" s="69">
        <f>-Dashboard!$E$16*(SUM($AJ$7:$AO$7)-$G$65/60-$H$65/60-$I$65/60)*Dashboard!$H$16/6*$AA12</f>
        <v>-17.579979344529661</v>
      </c>
      <c r="CC45" s="69">
        <f>-Dashboard!$E$16*(SUM($AJ$7:$AO$7)-$G$65/60-$H$65/60-$I$65/60)*Dashboard!$H$16/6*$AA12</f>
        <v>-17.579979344529661</v>
      </c>
      <c r="CD45" s="51">
        <f>SUM(Table154[[#This Row],[2026]:[2032]])</f>
        <v>18.286635055917046</v>
      </c>
      <c r="CE45" s="55"/>
      <c r="CF45" s="93" t="s">
        <v>9</v>
      </c>
      <c r="CG45" s="29">
        <f t="shared" si="45"/>
        <v>57.483746089222414</v>
      </c>
      <c r="CH45" s="13">
        <f>Table9[[#This Row],[2027]]+Table11[[#This Row],[2027]]+Table154[[#This Row],[2027]]</f>
        <v>88.030412755889074</v>
      </c>
      <c r="CI45" s="69">
        <f>Table9[[#This Row],[2028]]+Table11[[#This Row],[2028]]+Table154[[#This Row],[2028]]</f>
        <v>108.72828188665261</v>
      </c>
      <c r="CJ45" s="69">
        <f>Table9[[#This Row],[2029]]+Table11[[#This Row],[2029]]+Table154[[#This Row],[2029]]</f>
        <v>135.21990067376208</v>
      </c>
      <c r="CK45" s="69">
        <f>Table9[[#This Row],[2030]]+Table11[[#This Row],[2030]]+Table154[[#This Row],[2030]]</f>
        <v>115.80375598103065</v>
      </c>
      <c r="CL45" s="69">
        <f>Table9[[#This Row],[2031]]+Table11[[#This Row],[2031]]+Table154[[#This Row],[2031]]</f>
        <v>113.79326276655023</v>
      </c>
      <c r="CM45" s="69">
        <f>Table9[[#This Row],[2032]]+Table11[[#This Row],[2032]]+Table154[[#This Row],[2032]]</f>
        <v>108.51591321792158</v>
      </c>
      <c r="CN45" s="51"/>
      <c r="CO45" s="55"/>
    </row>
    <row r="46" spans="1:93" x14ac:dyDescent="0.35">
      <c r="B46" s="7" t="s">
        <v>10</v>
      </c>
      <c r="C46" s="74">
        <f t="shared" si="46"/>
        <v>35.6</v>
      </c>
      <c r="D46" s="55">
        <f t="shared" si="58"/>
        <v>97.01</v>
      </c>
      <c r="E46" s="55">
        <f t="shared" si="47"/>
        <v>93.45</v>
      </c>
      <c r="F46" s="55">
        <f t="shared" si="47"/>
        <v>91.67</v>
      </c>
      <c r="G46" s="55">
        <f t="shared" si="47"/>
        <v>89.89</v>
      </c>
      <c r="H46" s="55">
        <f t="shared" si="47"/>
        <v>87.22</v>
      </c>
      <c r="I46" s="55">
        <f t="shared" si="47"/>
        <v>83.66</v>
      </c>
      <c r="J46" s="51">
        <v>348.15822384567207</v>
      </c>
      <c r="K46" s="55"/>
      <c r="L46" s="98" t="s">
        <v>10</v>
      </c>
      <c r="M46" s="69"/>
      <c r="N46" s="329">
        <f t="shared" si="48"/>
        <v>125.14416399495687</v>
      </c>
      <c r="O46" s="55">
        <f t="shared" si="10"/>
        <v>357.37839048307399</v>
      </c>
      <c r="P46" s="55">
        <f t="shared" si="11"/>
        <v>480.97348374173424</v>
      </c>
      <c r="Q46" s="55">
        <f t="shared" si="12"/>
        <v>475.23847858447988</v>
      </c>
      <c r="R46" s="55">
        <f t="shared" si="13"/>
        <v>470.03157292017215</v>
      </c>
      <c r="S46" s="55">
        <f t="shared" si="14"/>
        <v>451.23387170240932</v>
      </c>
      <c r="T46" s="13">
        <f>SUM(Table5[[#This Row],[2026]:[2032]])</f>
        <v>2359.9999614268268</v>
      </c>
      <c r="U46" s="52"/>
      <c r="V46" t="s">
        <v>10</v>
      </c>
      <c r="W46" s="96">
        <f t="shared" si="15"/>
        <v>11.866666666666667</v>
      </c>
      <c r="X46" s="13">
        <f t="shared" si="16"/>
        <v>32.336666666666659</v>
      </c>
      <c r="Y46" s="69">
        <f t="shared" si="17"/>
        <v>31.150000000000006</v>
      </c>
      <c r="Z46" s="69">
        <f t="shared" si="18"/>
        <v>30.556666666666672</v>
      </c>
      <c r="AA46" s="69">
        <f t="shared" si="19"/>
        <v>29.963333333333338</v>
      </c>
      <c r="AB46" s="69">
        <f t="shared" si="20"/>
        <v>29.073333333333338</v>
      </c>
      <c r="AC46" s="69">
        <f t="shared" si="21"/>
        <v>27.88666666666667</v>
      </c>
      <c r="AD46" s="51">
        <f t="shared" si="22"/>
        <v>116.05274128189069</v>
      </c>
      <c r="AE46" s="55"/>
      <c r="AF46" s="93" t="s">
        <v>10</v>
      </c>
      <c r="AG46" s="69">
        <f t="shared" si="49"/>
        <v>47.466666666666669</v>
      </c>
      <c r="AH46" s="13">
        <f t="shared" si="50"/>
        <v>129.34666666666666</v>
      </c>
      <c r="AI46" s="69">
        <f t="shared" si="23"/>
        <v>124.60000000000001</v>
      </c>
      <c r="AJ46" s="69">
        <f t="shared" si="24"/>
        <v>122.22666666666667</v>
      </c>
      <c r="AK46" s="69">
        <f t="shared" si="25"/>
        <v>119.85333333333334</v>
      </c>
      <c r="AL46" s="69">
        <f t="shared" si="26"/>
        <v>116.29333333333334</v>
      </c>
      <c r="AM46" s="69">
        <f t="shared" si="27"/>
        <v>111.54666666666667</v>
      </c>
      <c r="AN46" s="51">
        <f t="shared" si="28"/>
        <v>464.21096512756276</v>
      </c>
      <c r="AO46" s="55">
        <f t="shared" si="29"/>
        <v>0</v>
      </c>
      <c r="AP46" s="98" t="s">
        <v>10</v>
      </c>
      <c r="AQ46" s="69"/>
      <c r="AR46" s="331">
        <f t="shared" si="51"/>
        <v>92.807497328290211</v>
      </c>
      <c r="AS46" s="69">
        <f t="shared" si="30"/>
        <v>326.22839048307401</v>
      </c>
      <c r="AT46" s="69">
        <f t="shared" si="31"/>
        <v>450.41681707506757</v>
      </c>
      <c r="AU46" s="69">
        <f t="shared" si="32"/>
        <v>445.27514525114657</v>
      </c>
      <c r="AV46" s="69">
        <f t="shared" si="33"/>
        <v>440.95823958683883</v>
      </c>
      <c r="AW46" s="69">
        <f t="shared" si="59"/>
        <v>423.34720503574266</v>
      </c>
      <c r="AX46" s="13">
        <f t="shared" si="52"/>
        <v>2243.9472201449362</v>
      </c>
      <c r="AY46" s="52"/>
      <c r="AZ46" s="93" t="s">
        <v>10</v>
      </c>
      <c r="BA46" s="69">
        <f>Table9[[#This Row],[2026]]</f>
        <v>47.466666666666669</v>
      </c>
      <c r="BB46" s="13">
        <f>Table9[[#This Row],[2027]]+Table11[[#This Row],[2027]]</f>
        <v>222.15416399495689</v>
      </c>
      <c r="BC46" s="69">
        <f t="shared" si="53"/>
        <v>450.82839048307397</v>
      </c>
      <c r="BD46" s="69">
        <f t="shared" si="34"/>
        <v>572.64348374173426</v>
      </c>
      <c r="BE46" s="69">
        <f t="shared" si="35"/>
        <v>565.12847858447992</v>
      </c>
      <c r="BF46" s="69">
        <f t="shared" si="36"/>
        <v>557.25157292017218</v>
      </c>
      <c r="BG46" s="69">
        <f t="shared" si="37"/>
        <v>534.89387170240934</v>
      </c>
      <c r="BH46" s="51">
        <f>SUM(Table13[[#This Row],[2026]:[2032]])</f>
        <v>2950.3666280934935</v>
      </c>
      <c r="BI46" s="55">
        <f>SUM(Table13[[#This Row],[2027]:[2032]])</f>
        <v>2902.8999614268268</v>
      </c>
      <c r="BJ46" s="75">
        <f t="shared" si="38"/>
        <v>9909.8873892570482</v>
      </c>
      <c r="BK46" s="76">
        <f t="shared" si="39"/>
        <v>9711.6849201212426</v>
      </c>
      <c r="BL46" s="93" t="s">
        <v>10</v>
      </c>
      <c r="BM46" s="69">
        <f t="shared" si="54"/>
        <v>17.8</v>
      </c>
      <c r="BN46" s="13">
        <f t="shared" si="55"/>
        <v>48.504999999999995</v>
      </c>
      <c r="BO46" s="69">
        <f t="shared" si="40"/>
        <v>46.725000000000001</v>
      </c>
      <c r="BP46" s="69">
        <f t="shared" si="41"/>
        <v>45.835000000000001</v>
      </c>
      <c r="BQ46" s="69">
        <f t="shared" si="42"/>
        <v>44.945</v>
      </c>
      <c r="BR46" s="69">
        <f t="shared" si="56"/>
        <v>43.61</v>
      </c>
      <c r="BS46" s="69">
        <f t="shared" si="43"/>
        <v>41.83</v>
      </c>
      <c r="BT46" s="51">
        <f t="shared" si="57"/>
        <v>174.07911192283603</v>
      </c>
      <c r="BU46" s="55">
        <f t="shared" si="44"/>
        <v>0</v>
      </c>
      <c r="BV46" s="93" t="s">
        <v>10</v>
      </c>
      <c r="BW46" s="29">
        <f>IF($AE$13=2027,IF($AE$18&gt;0,$AE$18*(SUM($AJ$7:$AO$7)-$G$65/60-$H$65/60-$I$65/60)*$AG$18*$AA13*0.87-Table7[[#This Row],[2026]],0),IF($AE$18&gt;0,IF(($AE$18*(SUM($AJ$7:$AO$7)-$G$65/60-$H$65/60-$I$65/60)*$AG$18*$AA13*0.87/2-Table7[[#This Row],[2026]])&gt;0,$AE$18*(SUM($AJ$7:$AO$7)-$G$65/60-$H$65/60-$I$65/60)*$AG$18*$AA13*0.87/2-Table7[[#This Row],[2026]],0),0))</f>
        <v>197.61492811903051</v>
      </c>
      <c r="BX46" s="13">
        <f>IF($AE$13=2027,0,IF($AE$18&gt;0,$AE$18*(SUM($AJ$7:$AO$7)-$G$65/60-$H$65/60-$I$65/60)*$AG$18*$AA13*0.87/2-IF(Table5[[#This Row],[2027]]-Table7[[#This Row],[2027]]&gt;0,Table5[[#This Row],[2027]]-Table7[[#This Row],[2027]],0),0))</f>
        <v>116.67409745740697</v>
      </c>
      <c r="BY46" s="69"/>
      <c r="BZ46" s="69"/>
      <c r="CA46" s="69">
        <f>-Dashboard!$E$16*(SUM($AJ$7:$AO$7)-$G$65/60-$H$65/60-$I$65/60)*Dashboard!$H$16/6*$AA13</f>
        <v>-80.261147427470192</v>
      </c>
      <c r="CB46" s="69">
        <f>-Dashboard!$E$16*(SUM($AJ$7:$AO$7)-$G$65/60-$H$65/60-$I$65/60)*Dashboard!$H$16/6*$AA13</f>
        <v>-80.261147427470192</v>
      </c>
      <c r="CC46" s="69">
        <f>-Dashboard!$E$16*(SUM($AJ$7:$AO$7)-$G$65/60-$H$65/60-$I$65/60)*Dashboard!$H$16/6*$AA13</f>
        <v>-80.261147427470192</v>
      </c>
      <c r="CD46" s="51">
        <f>SUM(Table154[[#This Row],[2026]:[2032]])</f>
        <v>73.505583294026948</v>
      </c>
      <c r="CE46" s="55"/>
      <c r="CF46" s="93" t="s">
        <v>10</v>
      </c>
      <c r="CG46" s="29">
        <f t="shared" si="45"/>
        <v>245.08159478569718</v>
      </c>
      <c r="CH46" s="13">
        <f>Table9[[#This Row],[2027]]+Table11[[#This Row],[2027]]+Table154[[#This Row],[2027]]</f>
        <v>338.82826145236385</v>
      </c>
      <c r="CI46" s="69">
        <f>Table9[[#This Row],[2028]]+Table11[[#This Row],[2028]]+Table154[[#This Row],[2028]]</f>
        <v>450.82839048307403</v>
      </c>
      <c r="CJ46" s="69">
        <f>Table9[[#This Row],[2029]]+Table11[[#This Row],[2029]]+Table154[[#This Row],[2029]]</f>
        <v>572.64348374173426</v>
      </c>
      <c r="CK46" s="69">
        <f>Table9[[#This Row],[2030]]+Table11[[#This Row],[2030]]+Table154[[#This Row],[2030]]</f>
        <v>484.86733115700974</v>
      </c>
      <c r="CL46" s="69">
        <f>Table9[[#This Row],[2031]]+Table11[[#This Row],[2031]]+Table154[[#This Row],[2031]]</f>
        <v>476.990425492702</v>
      </c>
      <c r="CM46" s="69">
        <f>Table9[[#This Row],[2032]]+Table11[[#This Row],[2032]]+Table154[[#This Row],[2032]]</f>
        <v>454.63272427493916</v>
      </c>
      <c r="CN46" s="51"/>
      <c r="CO46" s="55"/>
    </row>
    <row r="47" spans="1:93" x14ac:dyDescent="0.35">
      <c r="B47" s="7" t="s">
        <v>11</v>
      </c>
      <c r="C47" s="74">
        <f t="shared" si="46"/>
        <v>447.6</v>
      </c>
      <c r="D47" s="55">
        <f t="shared" si="58"/>
        <v>1219.71</v>
      </c>
      <c r="E47" s="55">
        <f t="shared" si="47"/>
        <v>1174.95</v>
      </c>
      <c r="F47" s="55">
        <f t="shared" si="47"/>
        <v>1152.57</v>
      </c>
      <c r="G47" s="55">
        <f t="shared" si="47"/>
        <v>1130.19</v>
      </c>
      <c r="H47" s="55">
        <f t="shared" si="47"/>
        <v>1096.6199999999999</v>
      </c>
      <c r="I47" s="55">
        <f t="shared" si="47"/>
        <v>1051.8599999999999</v>
      </c>
      <c r="J47" s="51">
        <v>7276.8251971291957</v>
      </c>
      <c r="K47" s="55"/>
      <c r="L47" s="98" t="s">
        <v>11</v>
      </c>
      <c r="M47" s="69"/>
      <c r="N47" s="329">
        <f t="shared" si="48"/>
        <v>1662.943138993541</v>
      </c>
      <c r="O47" s="55">
        <f t="shared" si="10"/>
        <v>4748.9225506539151</v>
      </c>
      <c r="P47" s="55">
        <f t="shared" si="11"/>
        <v>6391.2812974512372</v>
      </c>
      <c r="Q47" s="55">
        <f t="shared" si="12"/>
        <v>6315.0732892317483</v>
      </c>
      <c r="R47" s="55">
        <f t="shared" si="13"/>
        <v>6245.8827830712216</v>
      </c>
      <c r="S47" s="55">
        <f t="shared" si="14"/>
        <v>5996.0948003875947</v>
      </c>
      <c r="T47" s="13">
        <f>SUM(Table5[[#This Row],[2026]:[2032]])</f>
        <v>31360.197859789259</v>
      </c>
      <c r="U47" s="52"/>
      <c r="V47" t="s">
        <v>11</v>
      </c>
      <c r="W47" s="96">
        <f t="shared" si="15"/>
        <v>149.20000000000005</v>
      </c>
      <c r="X47" s="13">
        <f t="shared" si="16"/>
        <v>406.56999999999994</v>
      </c>
      <c r="Y47" s="69">
        <f t="shared" si="17"/>
        <v>391.65000000000009</v>
      </c>
      <c r="Z47" s="69">
        <f t="shared" si="18"/>
        <v>384.19000000000005</v>
      </c>
      <c r="AA47" s="69">
        <f t="shared" si="19"/>
        <v>376.73</v>
      </c>
      <c r="AB47" s="69">
        <f t="shared" si="20"/>
        <v>365.53999999999996</v>
      </c>
      <c r="AC47" s="69">
        <f t="shared" si="21"/>
        <v>350.61999999999989</v>
      </c>
      <c r="AD47" s="51">
        <f t="shared" si="22"/>
        <v>2425.6083990430652</v>
      </c>
      <c r="AE47" s="55"/>
      <c r="AF47" s="93" t="s">
        <v>11</v>
      </c>
      <c r="AG47" s="69">
        <f t="shared" si="49"/>
        <v>596.80000000000007</v>
      </c>
      <c r="AH47" s="13">
        <f t="shared" si="50"/>
        <v>1626.28</v>
      </c>
      <c r="AI47" s="69">
        <f t="shared" si="23"/>
        <v>1566.6000000000001</v>
      </c>
      <c r="AJ47" s="69">
        <f t="shared" si="24"/>
        <v>1536.76</v>
      </c>
      <c r="AK47" s="69">
        <f t="shared" si="25"/>
        <v>1506.92</v>
      </c>
      <c r="AL47" s="69">
        <f t="shared" si="26"/>
        <v>1462.1599999999999</v>
      </c>
      <c r="AM47" s="69">
        <f t="shared" si="27"/>
        <v>1402.4799999999998</v>
      </c>
      <c r="AN47" s="51">
        <f t="shared" si="28"/>
        <v>9702.4335961722609</v>
      </c>
      <c r="AO47" s="55">
        <f t="shared" si="29"/>
        <v>0</v>
      </c>
      <c r="AP47" s="98" t="s">
        <v>11</v>
      </c>
      <c r="AQ47" s="69"/>
      <c r="AR47" s="331">
        <f t="shared" si="51"/>
        <v>1256.373138993541</v>
      </c>
      <c r="AS47" s="69">
        <f t="shared" si="30"/>
        <v>4357.2725506539155</v>
      </c>
      <c r="AT47" s="69">
        <f t="shared" si="31"/>
        <v>6007.0912974512376</v>
      </c>
      <c r="AU47" s="69">
        <f t="shared" si="32"/>
        <v>5938.3432892317487</v>
      </c>
      <c r="AV47" s="69">
        <f t="shared" si="33"/>
        <v>5880.3427830712217</v>
      </c>
      <c r="AW47" s="69">
        <f t="shared" si="59"/>
        <v>5645.4748003875948</v>
      </c>
      <c r="AX47" s="13">
        <f t="shared" si="52"/>
        <v>28934.589460746196</v>
      </c>
      <c r="AY47" s="52"/>
      <c r="AZ47" s="93" t="s">
        <v>11</v>
      </c>
      <c r="BA47" s="69">
        <f>Table9[[#This Row],[2026]]</f>
        <v>596.80000000000007</v>
      </c>
      <c r="BB47" s="13">
        <f>Table9[[#This Row],[2027]]+Table11[[#This Row],[2027]]</f>
        <v>2882.6531389935408</v>
      </c>
      <c r="BC47" s="69">
        <f t="shared" si="53"/>
        <v>5923.8725506539149</v>
      </c>
      <c r="BD47" s="69">
        <f t="shared" si="34"/>
        <v>7543.8512974512369</v>
      </c>
      <c r="BE47" s="69">
        <f t="shared" si="35"/>
        <v>7445.2632892317488</v>
      </c>
      <c r="BF47" s="69">
        <f t="shared" si="36"/>
        <v>7342.5027830712215</v>
      </c>
      <c r="BG47" s="69">
        <f t="shared" si="37"/>
        <v>7047.9548003875943</v>
      </c>
      <c r="BH47" s="51">
        <f>SUM(Table13[[#This Row],[2026]:[2032]])</f>
        <v>38782.897859789256</v>
      </c>
      <c r="BI47" s="55">
        <f>SUM(Table13[[#This Row],[2027]:[2032]])</f>
        <v>38186.097859789261</v>
      </c>
      <c r="BJ47" s="75">
        <f t="shared" si="38"/>
        <v>9909.8873892570482</v>
      </c>
      <c r="BK47" s="76">
        <f t="shared" si="39"/>
        <v>9711.6849201212426</v>
      </c>
      <c r="BL47" s="93" t="s">
        <v>11</v>
      </c>
      <c r="BM47" s="69">
        <f t="shared" si="54"/>
        <v>223.8</v>
      </c>
      <c r="BN47" s="13">
        <f t="shared" si="55"/>
        <v>609.85500000000002</v>
      </c>
      <c r="BO47" s="69">
        <f t="shared" si="40"/>
        <v>587.47500000000002</v>
      </c>
      <c r="BP47" s="69">
        <f t="shared" si="41"/>
        <v>576.28499999999997</v>
      </c>
      <c r="BQ47" s="69">
        <f t="shared" si="42"/>
        <v>565.09500000000003</v>
      </c>
      <c r="BR47" s="69">
        <f t="shared" si="56"/>
        <v>548.30999999999995</v>
      </c>
      <c r="BS47" s="69">
        <f t="shared" si="43"/>
        <v>525.92999999999995</v>
      </c>
      <c r="BT47" s="51">
        <f t="shared" si="57"/>
        <v>3638.4125985645978</v>
      </c>
      <c r="BU47" s="55">
        <f t="shared" si="44"/>
        <v>0</v>
      </c>
      <c r="BV47" s="93" t="s">
        <v>11</v>
      </c>
      <c r="BW47" s="29">
        <f>IF($AE$13=2027,IF($AE$18&gt;0,$AE$18*(SUM($AJ$7:$AO$7)-$G$65/60-$H$65/60-$I$65/60)*$AG$18*$AA14*0.87-Table7[[#This Row],[2026]],0),IF($AE$18&gt;0,IF(($AE$18*(SUM($AJ$7:$AO$7)-$G$65/60-$H$65/60-$I$65/60)*$AG$18*$AA14*0.87/2-Table7[[#This Row],[2026]])&gt;0,$AE$18*(SUM($AJ$7:$AO$7)-$G$65/60-$H$65/60-$I$65/60)*$AG$18*$AA14*0.87/2-Table7[[#This Row],[2026]],0),0))</f>
        <v>2634.4374439988942</v>
      </c>
      <c r="BX47" s="13">
        <f>IF($AE$13=2027,0,IF($AE$18&gt;0,$AE$18*(SUM($AJ$7:$AO$7)-$G$65/60-$H$65/60-$I$65/60)*$AG$18*$AA14*0.87/2-IF(Table5[[#This Row],[2027]]-Table7[[#This Row],[2027]]&gt;0,Table5[[#This Row],[2027]]-Table7[[#This Row],[2027]],0),0))</f>
        <v>1527.2643050053534</v>
      </c>
      <c r="BY47" s="69"/>
      <c r="BZ47" s="69"/>
      <c r="CA47" s="69">
        <f>-Dashboard!$E$16*(SUM($AJ$7:$AO$7)-$G$65/60-$H$65/60-$I$65/60)*Dashboard!$H$16/6*$AA14</f>
        <v>-1066.5277563214156</v>
      </c>
      <c r="CB47" s="69">
        <f>-Dashboard!$E$16*(SUM($AJ$7:$AO$7)-$G$65/60-$H$65/60-$I$65/60)*Dashboard!$H$16/6*$AA14</f>
        <v>-1066.5277563214156</v>
      </c>
      <c r="CC47" s="69">
        <f>-Dashboard!$E$16*(SUM($AJ$7:$AO$7)-$G$65/60-$H$65/60-$I$65/60)*Dashboard!$H$16/6*$AA14</f>
        <v>-1066.5277563214156</v>
      </c>
      <c r="CD47" s="51">
        <f>SUM(Table154[[#This Row],[2026]:[2032]])</f>
        <v>962.11848004000012</v>
      </c>
      <c r="CE47" s="55"/>
      <c r="CF47" s="93" t="s">
        <v>11</v>
      </c>
      <c r="CG47" s="29">
        <f t="shared" si="45"/>
        <v>3231.2374439988944</v>
      </c>
      <c r="CH47" s="13">
        <f>Table9[[#This Row],[2027]]+Table11[[#This Row],[2027]]+Table154[[#This Row],[2027]]</f>
        <v>4409.9174439988947</v>
      </c>
      <c r="CI47" s="69">
        <f>Table9[[#This Row],[2028]]+Table11[[#This Row],[2028]]+Table154[[#This Row],[2028]]</f>
        <v>5923.8725506539158</v>
      </c>
      <c r="CJ47" s="69">
        <f>Table9[[#This Row],[2029]]+Table11[[#This Row],[2029]]+Table154[[#This Row],[2029]]</f>
        <v>7543.8512974512378</v>
      </c>
      <c r="CK47" s="69">
        <f>Table9[[#This Row],[2030]]+Table11[[#This Row],[2030]]+Table154[[#This Row],[2030]]</f>
        <v>6378.7355329103329</v>
      </c>
      <c r="CL47" s="69">
        <f>Table9[[#This Row],[2031]]+Table11[[#This Row],[2031]]+Table154[[#This Row],[2031]]</f>
        <v>6275.9750267498057</v>
      </c>
      <c r="CM47" s="69">
        <f>Table9[[#This Row],[2032]]+Table11[[#This Row],[2032]]+Table154[[#This Row],[2032]]</f>
        <v>5981.4270440661785</v>
      </c>
      <c r="CN47" s="51"/>
      <c r="CO47" s="55"/>
    </row>
    <row r="48" spans="1:93" x14ac:dyDescent="0.35">
      <c r="B48" s="7" t="s">
        <v>12</v>
      </c>
      <c r="C48" s="74">
        <f t="shared" si="46"/>
        <v>327.2</v>
      </c>
      <c r="D48" s="55">
        <f t="shared" si="58"/>
        <v>891.62</v>
      </c>
      <c r="E48" s="55">
        <f t="shared" si="47"/>
        <v>858.9</v>
      </c>
      <c r="F48" s="55">
        <f t="shared" si="47"/>
        <v>842.54</v>
      </c>
      <c r="G48" s="55">
        <f t="shared" si="47"/>
        <v>826.18</v>
      </c>
      <c r="H48" s="55">
        <f t="shared" si="47"/>
        <v>801.64</v>
      </c>
      <c r="I48" s="55">
        <f t="shared" si="47"/>
        <v>768.92</v>
      </c>
      <c r="J48" s="51">
        <v>5318.1740786186901</v>
      </c>
      <c r="K48" s="55"/>
      <c r="L48" s="98" t="s">
        <v>12</v>
      </c>
      <c r="M48" s="69"/>
      <c r="N48" s="329">
        <f t="shared" si="48"/>
        <v>2528.1525447341728</v>
      </c>
      <c r="O48" s="55">
        <f t="shared" si="10"/>
        <v>7219.730097595253</v>
      </c>
      <c r="P48" s="55">
        <f t="shared" si="11"/>
        <v>9716.5884373188001</v>
      </c>
      <c r="Q48" s="55">
        <f t="shared" si="12"/>
        <v>9600.7303148180945</v>
      </c>
      <c r="R48" s="55">
        <f t="shared" si="13"/>
        <v>9495.540816681043</v>
      </c>
      <c r="S48" s="55">
        <f t="shared" si="14"/>
        <v>9115.7911371773716</v>
      </c>
      <c r="T48" s="13">
        <f>SUM(Table5[[#This Row],[2026]:[2032]])</f>
        <v>47676.533348324738</v>
      </c>
      <c r="U48" s="52"/>
      <c r="V48" t="s">
        <v>12</v>
      </c>
      <c r="W48" s="96">
        <f t="shared" si="15"/>
        <v>109.06666666666666</v>
      </c>
      <c r="X48" s="13">
        <f t="shared" si="16"/>
        <v>297.20666666666659</v>
      </c>
      <c r="Y48" s="69">
        <f t="shared" si="17"/>
        <v>286.30000000000007</v>
      </c>
      <c r="Z48" s="69">
        <f t="shared" si="18"/>
        <v>280.84666666666658</v>
      </c>
      <c r="AA48" s="69">
        <f t="shared" si="19"/>
        <v>275.39333333333332</v>
      </c>
      <c r="AB48" s="69">
        <f t="shared" si="20"/>
        <v>267.21333333333325</v>
      </c>
      <c r="AC48" s="69">
        <f t="shared" si="21"/>
        <v>256.30666666666673</v>
      </c>
      <c r="AD48" s="51">
        <f t="shared" si="22"/>
        <v>1772.7246928728964</v>
      </c>
      <c r="AE48" s="55"/>
      <c r="AF48" s="93" t="s">
        <v>12</v>
      </c>
      <c r="AG48" s="69">
        <f t="shared" si="49"/>
        <v>436.26666666666665</v>
      </c>
      <c r="AH48" s="13">
        <f t="shared" si="50"/>
        <v>1188.8266666666666</v>
      </c>
      <c r="AI48" s="69">
        <f t="shared" si="23"/>
        <v>1145.2</v>
      </c>
      <c r="AJ48" s="69">
        <f t="shared" si="24"/>
        <v>1123.3866666666665</v>
      </c>
      <c r="AK48" s="69">
        <f t="shared" si="25"/>
        <v>1101.5733333333333</v>
      </c>
      <c r="AL48" s="69">
        <f t="shared" si="26"/>
        <v>1068.8533333333332</v>
      </c>
      <c r="AM48" s="69">
        <f t="shared" si="27"/>
        <v>1025.2266666666667</v>
      </c>
      <c r="AN48" s="51">
        <f t="shared" si="28"/>
        <v>7090.8987714915866</v>
      </c>
      <c r="AO48" s="55">
        <f t="shared" si="29"/>
        <v>0</v>
      </c>
      <c r="AP48" s="98" t="s">
        <v>12</v>
      </c>
      <c r="AQ48" s="69"/>
      <c r="AR48" s="331">
        <f t="shared" si="51"/>
        <v>2230.9458780675063</v>
      </c>
      <c r="AS48" s="69">
        <f t="shared" si="30"/>
        <v>6933.4300975952528</v>
      </c>
      <c r="AT48" s="69">
        <f t="shared" si="31"/>
        <v>9435.7417706521337</v>
      </c>
      <c r="AU48" s="69">
        <f t="shared" si="32"/>
        <v>9325.3369814847611</v>
      </c>
      <c r="AV48" s="69">
        <f t="shared" si="33"/>
        <v>9228.3274833477099</v>
      </c>
      <c r="AW48" s="69">
        <f t="shared" si="59"/>
        <v>8859.4844705107043</v>
      </c>
      <c r="AX48" s="13">
        <f t="shared" si="52"/>
        <v>45903.808655451838</v>
      </c>
      <c r="AY48" s="52"/>
      <c r="AZ48" s="93" t="s">
        <v>12</v>
      </c>
      <c r="BA48" s="69">
        <f>Table9[[#This Row],[2026]]</f>
        <v>436.26666666666665</v>
      </c>
      <c r="BB48" s="13">
        <f>Table9[[#This Row],[2027]]+Table11[[#This Row],[2027]]</f>
        <v>3419.7725447341727</v>
      </c>
      <c r="BC48" s="69">
        <f t="shared" si="53"/>
        <v>8078.6300975952527</v>
      </c>
      <c r="BD48" s="69">
        <f t="shared" si="34"/>
        <v>10559.128437318799</v>
      </c>
      <c r="BE48" s="69">
        <f t="shared" si="35"/>
        <v>10426.910314818095</v>
      </c>
      <c r="BF48" s="69">
        <f t="shared" si="36"/>
        <v>10297.180816681042</v>
      </c>
      <c r="BG48" s="69">
        <f t="shared" si="37"/>
        <v>9884.7111371773717</v>
      </c>
      <c r="BH48" s="51">
        <f>SUM(Table13[[#This Row],[2026]:[2032]])</f>
        <v>53102.600014991403</v>
      </c>
      <c r="BI48" s="55">
        <f>SUM(Table13[[#This Row],[2027]:[2032]])</f>
        <v>52666.333348324733</v>
      </c>
      <c r="BJ48" s="75">
        <f t="shared" si="38"/>
        <v>9909.8873892570482</v>
      </c>
      <c r="BK48" s="76">
        <f t="shared" si="39"/>
        <v>9711.6849201212426</v>
      </c>
      <c r="BL48" s="93" t="s">
        <v>12</v>
      </c>
      <c r="BM48" s="69">
        <f t="shared" si="54"/>
        <v>163.6</v>
      </c>
      <c r="BN48" s="13">
        <f t="shared" si="55"/>
        <v>445.80999999999995</v>
      </c>
      <c r="BO48" s="69">
        <f t="shared" si="40"/>
        <v>429.45000000000005</v>
      </c>
      <c r="BP48" s="69">
        <f t="shared" si="41"/>
        <v>421.27</v>
      </c>
      <c r="BQ48" s="69">
        <f t="shared" si="42"/>
        <v>413.09</v>
      </c>
      <c r="BR48" s="69">
        <f t="shared" si="56"/>
        <v>400.81999999999994</v>
      </c>
      <c r="BS48" s="69">
        <f t="shared" si="43"/>
        <v>384.46000000000004</v>
      </c>
      <c r="BT48" s="51">
        <f t="shared" si="57"/>
        <v>2659.0870393093451</v>
      </c>
      <c r="BU48" s="55">
        <f t="shared" si="44"/>
        <v>0</v>
      </c>
      <c r="BV48" s="93" t="s">
        <v>12</v>
      </c>
      <c r="BW48" s="29">
        <f>IF($AE$13=2027,IF($AE$18&gt;0,$AE$18*(SUM($AJ$7:$AO$7)-$G$65/60-$H$65/60-$I$65/60)*$AG$18*$AA15*0.87-Table7[[#This Row],[2026]],0),IF($AE$18&gt;0,IF(($AE$18*(SUM($AJ$7:$AO$7)-$G$65/60-$H$65/60-$I$65/60)*$AG$18*$AA15*0.87/2-Table7[[#This Row],[2026]])&gt;0,$AE$18*(SUM($AJ$7:$AO$7)-$G$65/60-$H$65/60-$I$65/60)*$AG$18*$AA15*0.87/2-Table7[[#This Row],[2026]],0),0))</f>
        <v>4122.8640125280526</v>
      </c>
      <c r="BX48" s="13">
        <f>IF($AE$13=2027,0,IF($AE$18&gt;0,$AE$18*(SUM($AJ$7:$AO$7)-$G$65/60-$H$65/60-$I$65/60)*$AG$18*$AA15*0.87/2-IF(Table5[[#This Row],[2027]]-Table7[[#This Row],[2027]]&gt;0,Table5[[#This Row],[2027]]-Table7[[#This Row],[2027]],0),0))</f>
        <v>2000.9848011272129</v>
      </c>
      <c r="BY48" s="69"/>
      <c r="BZ48" s="69"/>
      <c r="CA48" s="69">
        <f>-Dashboard!$E$16*(SUM($AJ$7:$AO$7)-$G$65/60-$H$65/60-$I$65/60)*Dashboard!$H$16/6*$AA15</f>
        <v>-1621.4293790018082</v>
      </c>
      <c r="CB48" s="69">
        <f>-Dashboard!$E$16*(SUM($AJ$7:$AO$7)-$G$65/60-$H$65/60-$I$65/60)*Dashboard!$H$16/6*$AA15</f>
        <v>-1621.4293790018082</v>
      </c>
      <c r="CC48" s="69">
        <f>-Dashboard!$E$16*(SUM($AJ$7:$AO$7)-$G$65/60-$H$65/60-$I$65/60)*Dashboard!$H$16/6*$AA15</f>
        <v>-1621.4293790018082</v>
      </c>
      <c r="CD48" s="51">
        <f>SUM(Table154[[#This Row],[2026]:[2032]])</f>
        <v>1259.5606766498413</v>
      </c>
      <c r="CE48" s="55"/>
      <c r="CF48" s="93" t="s">
        <v>12</v>
      </c>
      <c r="CG48" s="29">
        <f t="shared" si="45"/>
        <v>4559.1306791947191</v>
      </c>
      <c r="CH48" s="13">
        <f>Table9[[#This Row],[2027]]+Table11[[#This Row],[2027]]+Table154[[#This Row],[2027]]</f>
        <v>5420.7573458613861</v>
      </c>
      <c r="CI48" s="69">
        <f>Table9[[#This Row],[2028]]+Table11[[#This Row],[2028]]+Table154[[#This Row],[2028]]</f>
        <v>8078.6300975952527</v>
      </c>
      <c r="CJ48" s="69">
        <f>Table9[[#This Row],[2029]]+Table11[[#This Row],[2029]]+Table154[[#This Row],[2029]]</f>
        <v>10559.128437318801</v>
      </c>
      <c r="CK48" s="69">
        <f>Table9[[#This Row],[2030]]+Table11[[#This Row],[2030]]+Table154[[#This Row],[2030]]</f>
        <v>8805.4809358162856</v>
      </c>
      <c r="CL48" s="69">
        <f>Table9[[#This Row],[2031]]+Table11[[#This Row],[2031]]+Table154[[#This Row],[2031]]</f>
        <v>8675.7514376792351</v>
      </c>
      <c r="CM48" s="69">
        <f>Table9[[#This Row],[2032]]+Table11[[#This Row],[2032]]+Table154[[#This Row],[2032]]</f>
        <v>8263.2817581755626</v>
      </c>
      <c r="CN48" s="51"/>
      <c r="CO48" s="55"/>
    </row>
    <row r="49" spans="2:93" x14ac:dyDescent="0.35">
      <c r="B49" s="7" t="s">
        <v>13</v>
      </c>
      <c r="C49" s="74">
        <f t="shared" si="46"/>
        <v>220.79999999999998</v>
      </c>
      <c r="D49" s="55">
        <f t="shared" si="58"/>
        <v>601.67999999999995</v>
      </c>
      <c r="E49" s="55">
        <f t="shared" ref="E49:I58" si="60">F16</f>
        <v>579.6</v>
      </c>
      <c r="F49" s="55">
        <f t="shared" si="60"/>
        <v>568.55999999999995</v>
      </c>
      <c r="G49" s="55">
        <f t="shared" si="60"/>
        <v>557.52</v>
      </c>
      <c r="H49" s="55">
        <f t="shared" si="60"/>
        <v>540.96</v>
      </c>
      <c r="I49" s="55">
        <f t="shared" si="60"/>
        <v>518.88</v>
      </c>
      <c r="J49" s="51">
        <v>3586.8436081367622</v>
      </c>
      <c r="K49" s="55"/>
      <c r="L49" s="98" t="s">
        <v>13</v>
      </c>
      <c r="M49" s="69"/>
      <c r="N49" s="329">
        <f t="shared" si="48"/>
        <v>172.53587179579986</v>
      </c>
      <c r="O49" s="55">
        <f t="shared" si="10"/>
        <v>492.71648149299062</v>
      </c>
      <c r="P49" s="55">
        <f t="shared" si="11"/>
        <v>663.11665425634442</v>
      </c>
      <c r="Q49" s="55">
        <f t="shared" si="12"/>
        <v>655.20982038592786</v>
      </c>
      <c r="R49" s="55">
        <f t="shared" si="13"/>
        <v>648.03107565288531</v>
      </c>
      <c r="S49" s="55">
        <f t="shared" si="14"/>
        <v>622.11474313022461</v>
      </c>
      <c r="T49" s="13">
        <f>SUM(Table5[[#This Row],[2026]:[2032]])</f>
        <v>3253.7246467141726</v>
      </c>
      <c r="U49" s="52"/>
      <c r="V49" t="s">
        <v>13</v>
      </c>
      <c r="W49" s="96">
        <f t="shared" si="15"/>
        <v>73.599999999999994</v>
      </c>
      <c r="X49" s="13">
        <f t="shared" si="16"/>
        <v>200.55999999999995</v>
      </c>
      <c r="Y49" s="69">
        <f t="shared" si="17"/>
        <v>193.20000000000005</v>
      </c>
      <c r="Z49" s="69">
        <f t="shared" si="18"/>
        <v>189.51999999999998</v>
      </c>
      <c r="AA49" s="69">
        <f t="shared" si="19"/>
        <v>185.84000000000003</v>
      </c>
      <c r="AB49" s="69">
        <f t="shared" si="20"/>
        <v>180.32000000000005</v>
      </c>
      <c r="AC49" s="69">
        <f t="shared" si="21"/>
        <v>172.96000000000004</v>
      </c>
      <c r="AD49" s="51">
        <f t="shared" si="22"/>
        <v>1195.6145360455871</v>
      </c>
      <c r="AE49" s="55"/>
      <c r="AF49" s="93" t="s">
        <v>13</v>
      </c>
      <c r="AG49" s="69">
        <f t="shared" si="49"/>
        <v>294.39999999999998</v>
      </c>
      <c r="AH49" s="13">
        <f t="shared" si="50"/>
        <v>802.2399999999999</v>
      </c>
      <c r="AI49" s="69">
        <f t="shared" si="23"/>
        <v>772.80000000000007</v>
      </c>
      <c r="AJ49" s="69">
        <f t="shared" si="24"/>
        <v>758.07999999999993</v>
      </c>
      <c r="AK49" s="69">
        <f t="shared" si="25"/>
        <v>743.36</v>
      </c>
      <c r="AL49" s="69">
        <f t="shared" si="26"/>
        <v>721.28000000000009</v>
      </c>
      <c r="AM49" s="69">
        <f t="shared" si="27"/>
        <v>691.84</v>
      </c>
      <c r="AN49" s="51">
        <f t="shared" si="28"/>
        <v>4782.4581441823493</v>
      </c>
      <c r="AO49" s="55">
        <f t="shared" si="29"/>
        <v>0</v>
      </c>
      <c r="AP49" s="98" t="s">
        <v>13</v>
      </c>
      <c r="AQ49" s="69"/>
      <c r="AR49" s="331">
        <f t="shared" si="51"/>
        <v>0</v>
      </c>
      <c r="AS49" s="69">
        <f t="shared" si="30"/>
        <v>299.51648149299058</v>
      </c>
      <c r="AT49" s="69">
        <f t="shared" si="31"/>
        <v>473.59665425634444</v>
      </c>
      <c r="AU49" s="69">
        <f t="shared" si="32"/>
        <v>469.36982038592782</v>
      </c>
      <c r="AV49" s="69">
        <f t="shared" si="33"/>
        <v>467.71107565288526</v>
      </c>
      <c r="AW49" s="69">
        <f t="shared" si="59"/>
        <v>449.15474313022457</v>
      </c>
      <c r="AX49" s="13">
        <f t="shared" si="52"/>
        <v>2058.1101106685855</v>
      </c>
      <c r="AY49" s="52"/>
      <c r="AZ49" s="93" t="s">
        <v>13</v>
      </c>
      <c r="BA49" s="69">
        <f>Table9[[#This Row],[2026]]</f>
        <v>294.39999999999998</v>
      </c>
      <c r="BB49" s="13">
        <f>Table9[[#This Row],[2027]]+Table11[[#This Row],[2027]]</f>
        <v>802.2399999999999</v>
      </c>
      <c r="BC49" s="69">
        <f t="shared" si="53"/>
        <v>1072.3164814929905</v>
      </c>
      <c r="BD49" s="69">
        <f t="shared" si="34"/>
        <v>1231.6766542563444</v>
      </c>
      <c r="BE49" s="69">
        <f t="shared" si="35"/>
        <v>1212.7298203859277</v>
      </c>
      <c r="BF49" s="69">
        <f t="shared" si="36"/>
        <v>1188.9910756528852</v>
      </c>
      <c r="BG49" s="69">
        <f t="shared" si="37"/>
        <v>1140.9947431302246</v>
      </c>
      <c r="BH49" s="51">
        <f>SUM(Table13[[#This Row],[2026]:[2032]])</f>
        <v>6943.3487749183723</v>
      </c>
      <c r="BI49" s="55">
        <f>SUM(Table13[[#This Row],[2027]:[2032]])</f>
        <v>6648.9487749183727</v>
      </c>
      <c r="BJ49" s="75">
        <f t="shared" si="38"/>
        <v>9909.8873892570482</v>
      </c>
      <c r="BK49" s="76">
        <f t="shared" si="39"/>
        <v>9711.6849201212426</v>
      </c>
      <c r="BL49" s="93" t="s">
        <v>13</v>
      </c>
      <c r="BM49" s="69">
        <f t="shared" si="54"/>
        <v>110.39999999999999</v>
      </c>
      <c r="BN49" s="13">
        <f t="shared" si="55"/>
        <v>300.83999999999997</v>
      </c>
      <c r="BO49" s="69">
        <f t="shared" si="40"/>
        <v>289.8</v>
      </c>
      <c r="BP49" s="69">
        <f t="shared" si="41"/>
        <v>284.27999999999997</v>
      </c>
      <c r="BQ49" s="69">
        <f t="shared" si="42"/>
        <v>278.76</v>
      </c>
      <c r="BR49" s="69">
        <f t="shared" si="56"/>
        <v>270.48</v>
      </c>
      <c r="BS49" s="69">
        <f t="shared" si="43"/>
        <v>259.44</v>
      </c>
      <c r="BT49" s="51">
        <f t="shared" si="57"/>
        <v>1793.4218040683809</v>
      </c>
      <c r="BU49" s="55">
        <f t="shared" si="44"/>
        <v>0</v>
      </c>
      <c r="BV49" s="93" t="s">
        <v>13</v>
      </c>
      <c r="BW49" s="29">
        <f>IF($AE$13=2027,IF($AE$18&gt;0,$AE$18*(SUM($AJ$7:$AO$7)-$G$65/60-$H$65/60-$I$65/60)*$AG$18*$AA16*0.87-Table7[[#This Row],[2026]],0),IF($AE$18&gt;0,IF(($AE$18*(SUM($AJ$7:$AO$7)-$G$65/60-$H$65/60-$I$65/60)*$AG$18*$AA16*0.87/2-Table7[[#This Row],[2026]])&gt;0,$AE$18*(SUM($AJ$7:$AO$7)-$G$65/60-$H$65/60-$I$65/60)*$AG$18*$AA16*0.87/2-Table7[[#This Row],[2026]],0),0))</f>
        <v>215.21162674898099</v>
      </c>
      <c r="BX49" s="13">
        <f>IF($AE$13=2027,0,IF($AE$18&gt;0,$AE$18*(SUM($AJ$7:$AO$7)-$G$65/60-$H$65/60-$I$65/60)*$AG$18*$AA16*0.87/2-IF(Table5[[#This Row],[2027]]-Table7[[#This Row],[2027]]&gt;0,Table5[[#This Row],[2027]]-Table7[[#This Row],[2027]],0),0))</f>
        <v>288.81162674898098</v>
      </c>
      <c r="BY49" s="69"/>
      <c r="BZ49" s="69"/>
      <c r="CA49" s="69">
        <f>-Dashboard!$E$16*(SUM($AJ$7:$AO$7)-$G$65/60-$H$65/60-$I$65/60)*Dashboard!$H$16/6*$AA16</f>
        <v>-110.65579568926474</v>
      </c>
      <c r="CB49" s="69">
        <f>-Dashboard!$E$16*(SUM($AJ$7:$AO$7)-$G$65/60-$H$65/60-$I$65/60)*Dashboard!$H$16/6*$AA16</f>
        <v>-110.65579568926474</v>
      </c>
      <c r="CC49" s="69">
        <f>-Dashboard!$E$16*(SUM($AJ$7:$AO$7)-$G$65/60-$H$65/60-$I$65/60)*Dashboard!$H$16/6*$AA16</f>
        <v>-110.65579568926474</v>
      </c>
      <c r="CD49" s="51">
        <f>SUM(Table154[[#This Row],[2026]:[2032]])</f>
        <v>172.05586643016778</v>
      </c>
      <c r="CE49" s="55"/>
      <c r="CF49" s="93" t="s">
        <v>13</v>
      </c>
      <c r="CG49" s="29">
        <f t="shared" si="45"/>
        <v>509.61162674898094</v>
      </c>
      <c r="CH49" s="13">
        <f>Table9[[#This Row],[2027]]+Table11[[#This Row],[2027]]+Table154[[#This Row],[2027]]</f>
        <v>1091.0516267489809</v>
      </c>
      <c r="CI49" s="69">
        <f>Table9[[#This Row],[2028]]+Table11[[#This Row],[2028]]+Table154[[#This Row],[2028]]</f>
        <v>1072.3164814929905</v>
      </c>
      <c r="CJ49" s="69">
        <f>Table9[[#This Row],[2029]]+Table11[[#This Row],[2029]]+Table154[[#This Row],[2029]]</f>
        <v>1231.6766542563444</v>
      </c>
      <c r="CK49" s="69">
        <f>Table9[[#This Row],[2030]]+Table11[[#This Row],[2030]]+Table154[[#This Row],[2030]]</f>
        <v>1102.0740246966629</v>
      </c>
      <c r="CL49" s="69">
        <f>Table9[[#This Row],[2031]]+Table11[[#This Row],[2031]]+Table154[[#This Row],[2031]]</f>
        <v>1078.3352799636205</v>
      </c>
      <c r="CM49" s="69">
        <f>Table9[[#This Row],[2032]]+Table11[[#This Row],[2032]]+Table154[[#This Row],[2032]]</f>
        <v>1030.3389474409598</v>
      </c>
      <c r="CN49" s="51"/>
      <c r="CO49" s="55"/>
    </row>
    <row r="50" spans="2:93" x14ac:dyDescent="0.35">
      <c r="B50" s="7" t="s">
        <v>14</v>
      </c>
      <c r="C50" s="74">
        <f t="shared" si="46"/>
        <v>173.2</v>
      </c>
      <c r="D50" s="55">
        <f t="shared" si="58"/>
        <v>471.96999999999997</v>
      </c>
      <c r="E50" s="55">
        <f t="shared" si="60"/>
        <v>454.65</v>
      </c>
      <c r="F50" s="55">
        <f t="shared" si="60"/>
        <v>445.99</v>
      </c>
      <c r="G50" s="55">
        <f t="shared" si="60"/>
        <v>437.33</v>
      </c>
      <c r="H50" s="55">
        <f t="shared" si="60"/>
        <v>424.34</v>
      </c>
      <c r="I50" s="55">
        <f t="shared" si="60"/>
        <v>407.02</v>
      </c>
      <c r="J50" s="51">
        <v>2815.9681741310483</v>
      </c>
      <c r="K50" s="55"/>
      <c r="L50" s="98" t="s">
        <v>14</v>
      </c>
      <c r="M50" s="69"/>
      <c r="N50" s="329">
        <f t="shared" si="48"/>
        <v>196.23841838029384</v>
      </c>
      <c r="O50" s="55">
        <f t="shared" si="10"/>
        <v>560.40463952054267</v>
      </c>
      <c r="P50" s="55">
        <f t="shared" si="11"/>
        <v>754.21396187633241</v>
      </c>
      <c r="Q50" s="55">
        <f t="shared" si="12"/>
        <v>745.22090694244207</v>
      </c>
      <c r="R50" s="55">
        <f t="shared" si="13"/>
        <v>737.05596421079133</v>
      </c>
      <c r="S50" s="55">
        <f t="shared" si="14"/>
        <v>707.57931073849875</v>
      </c>
      <c r="T50" s="13">
        <f>SUM(Table5[[#This Row],[2026]:[2032]])</f>
        <v>3700.7132016689015</v>
      </c>
      <c r="U50" s="52"/>
      <c r="V50" t="s">
        <v>14</v>
      </c>
      <c r="W50" s="96">
        <f t="shared" si="15"/>
        <v>57.73333333333332</v>
      </c>
      <c r="X50" s="13">
        <f t="shared" si="16"/>
        <v>157.32333333333332</v>
      </c>
      <c r="Y50" s="69">
        <f t="shared" si="17"/>
        <v>151.54999999999995</v>
      </c>
      <c r="Z50" s="69">
        <f t="shared" si="18"/>
        <v>148.6633333333333</v>
      </c>
      <c r="AA50" s="69">
        <f t="shared" si="19"/>
        <v>145.7766666666667</v>
      </c>
      <c r="AB50" s="69">
        <f t="shared" si="20"/>
        <v>141.44666666666666</v>
      </c>
      <c r="AC50" s="69">
        <f t="shared" si="21"/>
        <v>135.67333333333329</v>
      </c>
      <c r="AD50" s="51">
        <f t="shared" si="22"/>
        <v>938.65605804368261</v>
      </c>
      <c r="AE50" s="55"/>
      <c r="AF50" s="93" t="s">
        <v>14</v>
      </c>
      <c r="AG50" s="69">
        <f t="shared" si="49"/>
        <v>230.93333333333331</v>
      </c>
      <c r="AH50" s="13">
        <f t="shared" si="50"/>
        <v>629.29333333333329</v>
      </c>
      <c r="AI50" s="69">
        <f t="shared" si="23"/>
        <v>606.19999999999993</v>
      </c>
      <c r="AJ50" s="69">
        <f t="shared" si="24"/>
        <v>594.65333333333331</v>
      </c>
      <c r="AK50" s="69">
        <f t="shared" si="25"/>
        <v>583.10666666666668</v>
      </c>
      <c r="AL50" s="69">
        <f t="shared" si="26"/>
        <v>565.78666666666663</v>
      </c>
      <c r="AM50" s="69">
        <f t="shared" si="27"/>
        <v>542.69333333333327</v>
      </c>
      <c r="AN50" s="51">
        <f t="shared" si="28"/>
        <v>3754.6242321747309</v>
      </c>
      <c r="AO50" s="55">
        <f t="shared" si="29"/>
        <v>0</v>
      </c>
      <c r="AP50" s="98" t="s">
        <v>14</v>
      </c>
      <c r="AQ50" s="69"/>
      <c r="AR50" s="331">
        <f t="shared" si="51"/>
        <v>38.915085046960513</v>
      </c>
      <c r="AS50" s="69">
        <f t="shared" si="30"/>
        <v>408.85463952054272</v>
      </c>
      <c r="AT50" s="69">
        <f t="shared" si="31"/>
        <v>605.55062854299911</v>
      </c>
      <c r="AU50" s="69">
        <f t="shared" si="32"/>
        <v>599.44424027577543</v>
      </c>
      <c r="AV50" s="69">
        <f t="shared" si="33"/>
        <v>595.60929754412473</v>
      </c>
      <c r="AW50" s="69">
        <f t="shared" si="59"/>
        <v>571.90597740516546</v>
      </c>
      <c r="AX50" s="13">
        <f t="shared" si="52"/>
        <v>2762.0571436252189</v>
      </c>
      <c r="AY50" s="52"/>
      <c r="AZ50" s="93" t="s">
        <v>14</v>
      </c>
      <c r="BA50" s="69">
        <f>Table9[[#This Row],[2026]]</f>
        <v>230.93333333333331</v>
      </c>
      <c r="BB50" s="13">
        <f>Table9[[#This Row],[2027]]+Table11[[#This Row],[2027]]</f>
        <v>668.20841838029378</v>
      </c>
      <c r="BC50" s="69">
        <f t="shared" si="53"/>
        <v>1015.0546395205427</v>
      </c>
      <c r="BD50" s="69">
        <f t="shared" si="34"/>
        <v>1200.2039618763324</v>
      </c>
      <c r="BE50" s="69">
        <f t="shared" si="35"/>
        <v>1182.550906942442</v>
      </c>
      <c r="BF50" s="69">
        <f t="shared" si="36"/>
        <v>1161.3959642107914</v>
      </c>
      <c r="BG50" s="69">
        <f t="shared" si="37"/>
        <v>1114.5993107384988</v>
      </c>
      <c r="BH50" s="51">
        <f>SUM(Table13[[#This Row],[2026]:[2032]])</f>
        <v>6572.9465350022347</v>
      </c>
      <c r="BI50" s="55">
        <f>SUM(Table13[[#This Row],[2027]:[2032]])</f>
        <v>6342.0132016689004</v>
      </c>
      <c r="BJ50" s="75">
        <f t="shared" si="38"/>
        <v>9909.8873892570482</v>
      </c>
      <c r="BK50" s="76">
        <f t="shared" si="39"/>
        <v>9711.6849201212426</v>
      </c>
      <c r="BL50" s="93" t="s">
        <v>14</v>
      </c>
      <c r="BM50" s="69">
        <f t="shared" si="54"/>
        <v>86.6</v>
      </c>
      <c r="BN50" s="13">
        <f t="shared" si="55"/>
        <v>235.98499999999999</v>
      </c>
      <c r="BO50" s="69">
        <f t="shared" si="40"/>
        <v>227.32499999999999</v>
      </c>
      <c r="BP50" s="69">
        <f t="shared" si="41"/>
        <v>222.995</v>
      </c>
      <c r="BQ50" s="69">
        <f t="shared" si="42"/>
        <v>218.66500000000002</v>
      </c>
      <c r="BR50" s="69">
        <f t="shared" si="56"/>
        <v>212.17</v>
      </c>
      <c r="BS50" s="69">
        <f t="shared" si="43"/>
        <v>203.51</v>
      </c>
      <c r="BT50" s="51">
        <f t="shared" si="57"/>
        <v>1407.9840870655241</v>
      </c>
      <c r="BU50" s="55">
        <f t="shared" si="44"/>
        <v>0</v>
      </c>
      <c r="BV50" s="93" t="s">
        <v>14</v>
      </c>
      <c r="BW50" s="29">
        <f>IF($AE$13=2027,IF($AE$18&gt;0,$AE$18*(SUM($AJ$7:$AO$7)-$G$65/60-$H$65/60-$I$65/60)*$AG$18*$AA17*0.87-Table7[[#This Row],[2026]],0),IF($AE$18&gt;0,IF(($AE$18*(SUM($AJ$7:$AO$7)-$G$65/60-$H$65/60-$I$65/60)*$AG$18*$AA17*0.87/2-Table7[[#This Row],[2026]])&gt;0,$AE$18*(SUM($AJ$7:$AO$7)-$G$65/60-$H$65/60-$I$65/60)*$AG$18*$AA17*0.87/2-Table7[[#This Row],[2026]],0),0))</f>
        <v>270.75451242976135</v>
      </c>
      <c r="BX50" s="13">
        <f>IF($AE$13=2027,0,IF($AE$18&gt;0,$AE$18*(SUM($AJ$7:$AO$7)-$G$65/60-$H$65/60-$I$65/60)*$AG$18*$AA17*0.87/2-IF(Table5[[#This Row],[2027]]-Table7[[#This Row],[2027]]&gt;0,Table5[[#This Row],[2027]]-Table7[[#This Row],[2027]],0),0))</f>
        <v>289.57276071613421</v>
      </c>
      <c r="BY50" s="69"/>
      <c r="BZ50" s="69"/>
      <c r="CA50" s="69">
        <f>-Dashboard!$E$16*(SUM($AJ$7:$AO$7)-$G$65/60-$H$65/60-$I$65/60)*Dashboard!$H$16/6*$AA17</f>
        <v>-125.85741216976808</v>
      </c>
      <c r="CB50" s="69">
        <f>-Dashboard!$E$16*(SUM($AJ$7:$AO$7)-$G$65/60-$H$65/60-$I$65/60)*Dashboard!$H$16/6*$AA17</f>
        <v>-125.85741216976808</v>
      </c>
      <c r="CC50" s="69">
        <f>-Dashboard!$E$16*(SUM($AJ$7:$AO$7)-$G$65/60-$H$65/60-$I$65/60)*Dashboard!$H$16/6*$AA17</f>
        <v>-125.85741216976808</v>
      </c>
      <c r="CD50" s="51">
        <f>SUM(Table154[[#This Row],[2026]:[2032]])</f>
        <v>182.75503663659137</v>
      </c>
      <c r="CE50" s="55"/>
      <c r="CF50" s="93" t="s">
        <v>14</v>
      </c>
      <c r="CG50" s="29">
        <f t="shared" si="45"/>
        <v>501.68784576309463</v>
      </c>
      <c r="CH50" s="13">
        <f>Table9[[#This Row],[2027]]+Table11[[#This Row],[2027]]+Table154[[#This Row],[2027]]</f>
        <v>957.78117909642799</v>
      </c>
      <c r="CI50" s="69">
        <f>Table9[[#This Row],[2028]]+Table11[[#This Row],[2028]]+Table154[[#This Row],[2028]]</f>
        <v>1015.0546395205427</v>
      </c>
      <c r="CJ50" s="69">
        <f>Table9[[#This Row],[2029]]+Table11[[#This Row],[2029]]+Table154[[#This Row],[2029]]</f>
        <v>1200.2039618763324</v>
      </c>
      <c r="CK50" s="69">
        <f>Table9[[#This Row],[2030]]+Table11[[#This Row],[2030]]+Table154[[#This Row],[2030]]</f>
        <v>1056.6934947726738</v>
      </c>
      <c r="CL50" s="69">
        <f>Table9[[#This Row],[2031]]+Table11[[#This Row],[2031]]+Table154[[#This Row],[2031]]</f>
        <v>1035.5385520410232</v>
      </c>
      <c r="CM50" s="69">
        <f>Table9[[#This Row],[2032]]+Table11[[#This Row],[2032]]+Table154[[#This Row],[2032]]</f>
        <v>988.74189856873079</v>
      </c>
      <c r="CN50" s="51"/>
      <c r="CO50" s="55"/>
    </row>
    <row r="51" spans="2:93" x14ac:dyDescent="0.35">
      <c r="B51" s="7" t="s">
        <v>15</v>
      </c>
      <c r="C51" s="74">
        <f t="shared" si="46"/>
        <v>40.800000000000004</v>
      </c>
      <c r="D51" s="55">
        <f t="shared" si="58"/>
        <v>111.18</v>
      </c>
      <c r="E51" s="55">
        <f t="shared" si="60"/>
        <v>107.10000000000001</v>
      </c>
      <c r="F51" s="55">
        <f t="shared" si="60"/>
        <v>105.06</v>
      </c>
      <c r="G51" s="55">
        <f t="shared" si="60"/>
        <v>103.02000000000001</v>
      </c>
      <c r="H51" s="55">
        <f t="shared" si="60"/>
        <v>99.960000000000008</v>
      </c>
      <c r="I51" s="55">
        <f t="shared" si="60"/>
        <v>95.88000000000001</v>
      </c>
      <c r="J51" s="51">
        <v>663.44021523630329</v>
      </c>
      <c r="K51" s="55"/>
      <c r="L51" s="98" t="s">
        <v>15</v>
      </c>
      <c r="M51" s="69"/>
      <c r="N51" s="329">
        <f t="shared" si="48"/>
        <v>163.67002097779647</v>
      </c>
      <c r="O51" s="55">
        <f t="shared" si="10"/>
        <v>467.39797366605927</v>
      </c>
      <c r="P51" s="55">
        <f t="shared" si="11"/>
        <v>629.0420396826961</v>
      </c>
      <c r="Q51" s="55">
        <f t="shared" si="12"/>
        <v>621.54150282639159</v>
      </c>
      <c r="R51" s="55">
        <f t="shared" si="13"/>
        <v>614.73164184605071</v>
      </c>
      <c r="S51" s="55">
        <f t="shared" si="14"/>
        <v>590.14703434673822</v>
      </c>
      <c r="T51" s="13">
        <f>SUM(Table5[[#This Row],[2026]:[2032]])</f>
        <v>3086.5302133457326</v>
      </c>
      <c r="U51" s="52"/>
      <c r="V51" t="s">
        <v>15</v>
      </c>
      <c r="W51" s="96">
        <f t="shared" si="15"/>
        <v>13.600000000000001</v>
      </c>
      <c r="X51" s="13">
        <f t="shared" si="16"/>
        <v>37.06</v>
      </c>
      <c r="Y51" s="69">
        <f t="shared" si="17"/>
        <v>35.700000000000003</v>
      </c>
      <c r="Z51" s="69">
        <f t="shared" si="18"/>
        <v>35.02000000000001</v>
      </c>
      <c r="AA51" s="69">
        <f t="shared" si="19"/>
        <v>34.340000000000003</v>
      </c>
      <c r="AB51" s="69">
        <f t="shared" si="20"/>
        <v>33.319999999999993</v>
      </c>
      <c r="AC51" s="69">
        <f t="shared" si="21"/>
        <v>31.960000000000008</v>
      </c>
      <c r="AD51" s="51">
        <f t="shared" si="22"/>
        <v>221.14673841210106</v>
      </c>
      <c r="AE51" s="55"/>
      <c r="AF51" s="93" t="s">
        <v>15</v>
      </c>
      <c r="AG51" s="69">
        <f t="shared" si="49"/>
        <v>54.400000000000006</v>
      </c>
      <c r="AH51" s="13">
        <f t="shared" si="50"/>
        <v>148.24</v>
      </c>
      <c r="AI51" s="69">
        <f t="shared" si="23"/>
        <v>142.80000000000001</v>
      </c>
      <c r="AJ51" s="69">
        <f t="shared" si="24"/>
        <v>140.08000000000001</v>
      </c>
      <c r="AK51" s="69">
        <f t="shared" si="25"/>
        <v>137.36000000000001</v>
      </c>
      <c r="AL51" s="69">
        <f t="shared" si="26"/>
        <v>133.28</v>
      </c>
      <c r="AM51" s="69">
        <f t="shared" si="27"/>
        <v>127.84000000000002</v>
      </c>
      <c r="AN51" s="51">
        <f t="shared" si="28"/>
        <v>884.58695364840435</v>
      </c>
      <c r="AO51" s="55">
        <f t="shared" si="29"/>
        <v>0</v>
      </c>
      <c r="AP51" s="98" t="s">
        <v>15</v>
      </c>
      <c r="AQ51" s="69"/>
      <c r="AR51" s="331">
        <f t="shared" si="51"/>
        <v>126.61002097779647</v>
      </c>
      <c r="AS51" s="69">
        <f t="shared" si="30"/>
        <v>431.69797366605928</v>
      </c>
      <c r="AT51" s="69">
        <f t="shared" si="31"/>
        <v>594.02203968269612</v>
      </c>
      <c r="AU51" s="69">
        <f t="shared" si="32"/>
        <v>587.20150282639156</v>
      </c>
      <c r="AV51" s="69">
        <f t="shared" si="33"/>
        <v>581.41164184605077</v>
      </c>
      <c r="AW51" s="69">
        <f t="shared" si="59"/>
        <v>558.18703434673819</v>
      </c>
      <c r="AX51" s="13">
        <f t="shared" si="52"/>
        <v>2865.3834749336315</v>
      </c>
      <c r="AY51" s="52"/>
      <c r="AZ51" s="93" t="s">
        <v>15</v>
      </c>
      <c r="BA51" s="69">
        <f>Table9[[#This Row],[2026]]</f>
        <v>54.400000000000006</v>
      </c>
      <c r="BB51" s="13">
        <f>Table9[[#This Row],[2027]]+Table11[[#This Row],[2027]]</f>
        <v>274.85002097779648</v>
      </c>
      <c r="BC51" s="69">
        <f t="shared" si="53"/>
        <v>574.49797366605924</v>
      </c>
      <c r="BD51" s="69">
        <f t="shared" si="34"/>
        <v>734.10203968269616</v>
      </c>
      <c r="BE51" s="69">
        <f t="shared" si="35"/>
        <v>724.56150282639157</v>
      </c>
      <c r="BF51" s="69">
        <f t="shared" si="36"/>
        <v>714.69164184605074</v>
      </c>
      <c r="BG51" s="69">
        <f t="shared" si="37"/>
        <v>686.02703434673822</v>
      </c>
      <c r="BH51" s="51">
        <f>SUM(Table13[[#This Row],[2026]:[2032]])</f>
        <v>3763.130213345732</v>
      </c>
      <c r="BI51" s="55">
        <f>SUM(Table13[[#This Row],[2027]:[2032]])</f>
        <v>3708.7302133457324</v>
      </c>
      <c r="BJ51" s="75">
        <f t="shared" si="38"/>
        <v>9909.8873892570482</v>
      </c>
      <c r="BK51" s="76">
        <f t="shared" si="39"/>
        <v>9711.6849201212426</v>
      </c>
      <c r="BL51" s="93" t="s">
        <v>15</v>
      </c>
      <c r="BM51" s="69">
        <f t="shared" si="54"/>
        <v>20.400000000000002</v>
      </c>
      <c r="BN51" s="13">
        <f t="shared" si="55"/>
        <v>55.59</v>
      </c>
      <c r="BO51" s="69">
        <f t="shared" si="40"/>
        <v>53.550000000000004</v>
      </c>
      <c r="BP51" s="69">
        <f t="shared" si="41"/>
        <v>52.53</v>
      </c>
      <c r="BQ51" s="69">
        <f t="shared" si="42"/>
        <v>51.510000000000005</v>
      </c>
      <c r="BR51" s="69">
        <f t="shared" si="56"/>
        <v>49.980000000000004</v>
      </c>
      <c r="BS51" s="69">
        <f t="shared" si="43"/>
        <v>47.940000000000005</v>
      </c>
      <c r="BT51" s="51">
        <f t="shared" si="57"/>
        <v>331.72010761815164</v>
      </c>
      <c r="BU51" s="55">
        <f t="shared" si="44"/>
        <v>0</v>
      </c>
      <c r="BV51" s="93" t="s">
        <v>15</v>
      </c>
      <c r="BW51" s="29">
        <f>IF($AE$13=2027,IF($AE$18&gt;0,$AE$18*(SUM($AJ$7:$AO$7)-$G$65/60-$H$65/60-$I$65/60)*$AG$18*$AA18*0.87-Table7[[#This Row],[2026]],0),IF($AE$18&gt;0,IF(($AE$18*(SUM($AJ$7:$AO$7)-$G$65/60-$H$65/60-$I$65/60)*$AG$18*$AA18*0.87/2-Table7[[#This Row],[2026]])&gt;0,$AE$18*(SUM($AJ$7:$AO$7)-$G$65/60-$H$65/60-$I$65/60)*$AG$18*$AA18*0.87/2-Table7[[#This Row],[2026]],0),0))</f>
        <v>260.37088220924937</v>
      </c>
      <c r="BX51" s="13">
        <f>IF($AE$13=2027,0,IF($AE$18&gt;0,$AE$18*(SUM($AJ$7:$AO$7)-$G$65/60-$H$65/60-$I$65/60)*$AG$18*$AA18*0.87/2-IF(Table5[[#This Row],[2027]]-Table7[[#This Row],[2027]]&gt;0,Table5[[#This Row],[2027]]-Table7[[#This Row],[2027]],0),0))</f>
        <v>147.36086123145293</v>
      </c>
      <c r="BY51" s="69"/>
      <c r="BZ51" s="69"/>
      <c r="CA51" s="69">
        <f>-Dashboard!$E$16*(SUM($AJ$7:$AO$7)-$G$65/60-$H$65/60-$I$65/60)*Dashboard!$H$16/6*$AA18</f>
        <v>-104.96968667021049</v>
      </c>
      <c r="CB51" s="69">
        <f>-Dashboard!$E$16*(SUM($AJ$7:$AO$7)-$G$65/60-$H$65/60-$I$65/60)*Dashboard!$H$16/6*$AA18</f>
        <v>-104.96968667021049</v>
      </c>
      <c r="CC51" s="69">
        <f>-Dashboard!$E$16*(SUM($AJ$7:$AO$7)-$G$65/60-$H$65/60-$I$65/60)*Dashboard!$H$16/6*$AA18</f>
        <v>-104.96968667021049</v>
      </c>
      <c r="CD51" s="51">
        <f>SUM(Table154[[#This Row],[2026]:[2032]])</f>
        <v>92.822683430070853</v>
      </c>
      <c r="CE51" s="55"/>
      <c r="CF51" s="93" t="s">
        <v>15</v>
      </c>
      <c r="CG51" s="29">
        <f t="shared" si="45"/>
        <v>314.77088220924941</v>
      </c>
      <c r="CH51" s="13">
        <f>Table9[[#This Row],[2027]]+Table11[[#This Row],[2027]]+Table154[[#This Row],[2027]]</f>
        <v>422.21088220924941</v>
      </c>
      <c r="CI51" s="69">
        <f>Table9[[#This Row],[2028]]+Table11[[#This Row],[2028]]+Table154[[#This Row],[2028]]</f>
        <v>574.49797366605935</v>
      </c>
      <c r="CJ51" s="69">
        <f>Table9[[#This Row],[2029]]+Table11[[#This Row],[2029]]+Table154[[#This Row],[2029]]</f>
        <v>734.10203968269616</v>
      </c>
      <c r="CK51" s="69">
        <f>Table9[[#This Row],[2030]]+Table11[[#This Row],[2030]]+Table154[[#This Row],[2030]]</f>
        <v>619.59181615618104</v>
      </c>
      <c r="CL51" s="69">
        <f>Table9[[#This Row],[2031]]+Table11[[#This Row],[2031]]+Table154[[#This Row],[2031]]</f>
        <v>609.72195517584021</v>
      </c>
      <c r="CM51" s="69">
        <f>Table9[[#This Row],[2032]]+Table11[[#This Row],[2032]]+Table154[[#This Row],[2032]]</f>
        <v>581.05734767652768</v>
      </c>
      <c r="CN51" s="51"/>
      <c r="CO51" s="55"/>
    </row>
    <row r="52" spans="2:93" ht="15" customHeight="1" x14ac:dyDescent="0.35">
      <c r="B52" s="7" t="s">
        <v>16</v>
      </c>
      <c r="C52" s="74">
        <f t="shared" si="46"/>
        <v>432.40000000000003</v>
      </c>
      <c r="D52" s="55">
        <f t="shared" si="58"/>
        <v>1178.29</v>
      </c>
      <c r="E52" s="55">
        <f t="shared" si="60"/>
        <v>1135.05</v>
      </c>
      <c r="F52" s="55">
        <f t="shared" si="60"/>
        <v>1113.43</v>
      </c>
      <c r="G52" s="55">
        <f t="shared" si="60"/>
        <v>1091.81</v>
      </c>
      <c r="H52" s="55">
        <f t="shared" si="60"/>
        <v>1059.3800000000001</v>
      </c>
      <c r="I52" s="55">
        <f t="shared" si="60"/>
        <v>1016.14</v>
      </c>
      <c r="J52" s="51">
        <v>7023.9709244470205</v>
      </c>
      <c r="K52" s="55"/>
      <c r="L52" s="98" t="s">
        <v>16</v>
      </c>
      <c r="M52" s="69"/>
      <c r="N52" s="329">
        <f t="shared" si="48"/>
        <v>1404.5721998957829</v>
      </c>
      <c r="O52" s="55">
        <f t="shared" si="10"/>
        <v>4011.0839857962028</v>
      </c>
      <c r="P52" s="55">
        <f t="shared" si="11"/>
        <v>5398.2699838714843</v>
      </c>
      <c r="Q52" s="55">
        <f t="shared" si="12"/>
        <v>5333.9023893070025</v>
      </c>
      <c r="R52" s="55">
        <f t="shared" si="13"/>
        <v>5275.4619897701832</v>
      </c>
      <c r="S52" s="55">
        <f t="shared" si="14"/>
        <v>5064.483485383189</v>
      </c>
      <c r="T52" s="13">
        <f>SUM(Table5[[#This Row],[2026]:[2032]])</f>
        <v>26487.774034023845</v>
      </c>
      <c r="U52" s="52"/>
      <c r="V52" t="s">
        <v>16</v>
      </c>
      <c r="W52" s="96">
        <f t="shared" si="15"/>
        <v>144.13333333333338</v>
      </c>
      <c r="X52" s="13">
        <f t="shared" si="16"/>
        <v>392.76333333333332</v>
      </c>
      <c r="Y52" s="69">
        <f t="shared" si="17"/>
        <v>378.34999999999991</v>
      </c>
      <c r="Z52" s="69">
        <f t="shared" si="18"/>
        <v>371.14333333333343</v>
      </c>
      <c r="AA52" s="69">
        <f t="shared" si="19"/>
        <v>363.93666666666672</v>
      </c>
      <c r="AB52" s="69">
        <f t="shared" si="20"/>
        <v>353.12666666666678</v>
      </c>
      <c r="AC52" s="69">
        <f t="shared" si="21"/>
        <v>338.71333333333325</v>
      </c>
      <c r="AD52" s="51">
        <f t="shared" si="22"/>
        <v>2341.3236414823396</v>
      </c>
      <c r="AE52" s="55"/>
      <c r="AF52" s="93" t="s">
        <v>16</v>
      </c>
      <c r="AG52" s="69">
        <f t="shared" si="49"/>
        <v>576.53333333333342</v>
      </c>
      <c r="AH52" s="13">
        <f t="shared" si="50"/>
        <v>1571.0533333333333</v>
      </c>
      <c r="AI52" s="69">
        <f t="shared" si="23"/>
        <v>1513.3999999999999</v>
      </c>
      <c r="AJ52" s="69">
        <f t="shared" si="24"/>
        <v>1484.5733333333335</v>
      </c>
      <c r="AK52" s="69">
        <f t="shared" si="25"/>
        <v>1455.7466666666667</v>
      </c>
      <c r="AL52" s="69">
        <f t="shared" si="26"/>
        <v>1412.5066666666669</v>
      </c>
      <c r="AM52" s="69">
        <f t="shared" si="27"/>
        <v>1354.8533333333332</v>
      </c>
      <c r="AN52" s="51">
        <f t="shared" si="28"/>
        <v>9365.29456592936</v>
      </c>
      <c r="AO52" s="55">
        <f t="shared" si="29"/>
        <v>0</v>
      </c>
      <c r="AP52" s="98" t="s">
        <v>16</v>
      </c>
      <c r="AQ52" s="69"/>
      <c r="AR52" s="331">
        <f t="shared" si="51"/>
        <v>1011.8088665624496</v>
      </c>
      <c r="AS52" s="69">
        <f t="shared" si="30"/>
        <v>3632.7339857962029</v>
      </c>
      <c r="AT52" s="69">
        <f t="shared" si="31"/>
        <v>5027.1266505381509</v>
      </c>
      <c r="AU52" s="69">
        <f t="shared" si="32"/>
        <v>4969.965722640336</v>
      </c>
      <c r="AV52" s="69">
        <f t="shared" si="33"/>
        <v>4922.3353231035162</v>
      </c>
      <c r="AW52" s="69">
        <f t="shared" si="59"/>
        <v>4725.7701520498558</v>
      </c>
      <c r="AX52" s="13">
        <f t="shared" si="52"/>
        <v>24146.450392541505</v>
      </c>
      <c r="AY52" s="52"/>
      <c r="AZ52" s="93" t="s">
        <v>16</v>
      </c>
      <c r="BA52" s="69">
        <f>Table9[[#This Row],[2026]]</f>
        <v>576.53333333333342</v>
      </c>
      <c r="BB52" s="13">
        <f>Table9[[#This Row],[2027]]+Table11[[#This Row],[2027]]</f>
        <v>2582.8621998957829</v>
      </c>
      <c r="BC52" s="69">
        <f t="shared" si="53"/>
        <v>5146.133985796203</v>
      </c>
      <c r="BD52" s="69">
        <f t="shared" si="34"/>
        <v>6511.6999838714846</v>
      </c>
      <c r="BE52" s="69">
        <f t="shared" si="35"/>
        <v>6425.712389307002</v>
      </c>
      <c r="BF52" s="69">
        <f t="shared" si="36"/>
        <v>6334.8419897701833</v>
      </c>
      <c r="BG52" s="69">
        <f t="shared" si="37"/>
        <v>6080.6234853831893</v>
      </c>
      <c r="BH52" s="51">
        <f>SUM(Table13[[#This Row],[2026]:[2032]])</f>
        <v>33658.407367357177</v>
      </c>
      <c r="BI52" s="55">
        <f>SUM(Table13[[#This Row],[2027]:[2032]])</f>
        <v>33081.874034023844</v>
      </c>
      <c r="BJ52" s="75">
        <f t="shared" si="38"/>
        <v>9909.8873892570482</v>
      </c>
      <c r="BK52" s="76">
        <f t="shared" si="39"/>
        <v>9711.6849201212426</v>
      </c>
      <c r="BL52" s="93" t="s">
        <v>16</v>
      </c>
      <c r="BM52" s="69">
        <f t="shared" si="54"/>
        <v>216.20000000000005</v>
      </c>
      <c r="BN52" s="13">
        <f t="shared" si="55"/>
        <v>589.14499999999998</v>
      </c>
      <c r="BO52" s="69">
        <f t="shared" si="40"/>
        <v>567.52499999999998</v>
      </c>
      <c r="BP52" s="69">
        <f t="shared" si="41"/>
        <v>556.71500000000003</v>
      </c>
      <c r="BQ52" s="69">
        <f t="shared" si="42"/>
        <v>545.90499999999997</v>
      </c>
      <c r="BR52" s="69">
        <f t="shared" si="56"/>
        <v>529.69000000000005</v>
      </c>
      <c r="BS52" s="69">
        <f t="shared" si="43"/>
        <v>508.06999999999994</v>
      </c>
      <c r="BT52" s="51">
        <f t="shared" si="57"/>
        <v>3511.9854622235098</v>
      </c>
      <c r="BU52" s="55">
        <f t="shared" si="44"/>
        <v>0</v>
      </c>
      <c r="BV52" s="93" t="s">
        <v>16</v>
      </c>
      <c r="BW52" s="29">
        <f>IF($AE$13=2027,IF($AE$18&gt;0,$AE$18*(SUM($AJ$7:$AO$7)-$G$65/60-$H$65/60-$I$65/60)*$AG$18*$AA19*0.87-Table7[[#This Row],[2026]],0),IF($AE$18&gt;0,IF(($AE$18*(SUM($AJ$7:$AO$7)-$G$65/60-$H$65/60-$I$65/60)*$AG$18*$AA19*0.87/2-Table7[[#This Row],[2026]])&gt;0,$AE$18*(SUM($AJ$7:$AO$7)-$G$65/60-$H$65/60-$I$65/60)*$AG$18*$AA19*0.87/2-Table7[[#This Row],[2026]],0),0))</f>
        <v>2207.0112588961597</v>
      </c>
      <c r="BX52" s="13">
        <f>IF($AE$13=2027,0,IF($AE$18&gt;0,$AE$18*(SUM($AJ$7:$AO$7)-$G$65/60-$H$65/60-$I$65/60)*$AG$18*$AA19*0.87/2-IF(Table5[[#This Row],[2027]]-Table7[[#This Row],[2027]]&gt;0,Table5[[#This Row],[2027]]-Table7[[#This Row],[2027]],0),0))</f>
        <v>1339.3357256670433</v>
      </c>
      <c r="BY52" s="69"/>
      <c r="BZ52" s="69"/>
      <c r="CA52" s="69">
        <f>-Dashboard!$E$16*(SUM($AJ$7:$AO$7)-$G$65/60-$H$65/60-$I$65/60)*Dashboard!$H$16/6*$AA19</f>
        <v>-900.82168284654892</v>
      </c>
      <c r="CB52" s="69">
        <f>-Dashboard!$E$16*(SUM($AJ$7:$AO$7)-$G$65/60-$H$65/60-$I$65/60)*Dashboard!$H$16/6*$AA19</f>
        <v>-900.82168284654892</v>
      </c>
      <c r="CC52" s="69">
        <f>-Dashboard!$E$16*(SUM($AJ$7:$AO$7)-$G$65/60-$H$65/60-$I$65/60)*Dashboard!$H$16/6*$AA19</f>
        <v>-900.82168284654892</v>
      </c>
      <c r="CD52" s="51">
        <f>SUM(Table154[[#This Row],[2026]:[2032]])</f>
        <v>843.88193602355648</v>
      </c>
      <c r="CE52" s="55"/>
      <c r="CF52" s="93" t="s">
        <v>16</v>
      </c>
      <c r="CG52" s="29">
        <f t="shared" si="45"/>
        <v>2783.544592229493</v>
      </c>
      <c r="CH52" s="13">
        <f>Table9[[#This Row],[2027]]+Table11[[#This Row],[2027]]+Table154[[#This Row],[2027]]</f>
        <v>3922.1979255628262</v>
      </c>
      <c r="CI52" s="69">
        <f>Table9[[#This Row],[2028]]+Table11[[#This Row],[2028]]+Table154[[#This Row],[2028]]</f>
        <v>5146.133985796203</v>
      </c>
      <c r="CJ52" s="69">
        <f>Table9[[#This Row],[2029]]+Table11[[#This Row],[2029]]+Table154[[#This Row],[2029]]</f>
        <v>6511.6999838714846</v>
      </c>
      <c r="CK52" s="69">
        <f>Table9[[#This Row],[2030]]+Table11[[#This Row],[2030]]+Table154[[#This Row],[2030]]</f>
        <v>5524.8907064604537</v>
      </c>
      <c r="CL52" s="69">
        <f>Table9[[#This Row],[2031]]+Table11[[#This Row],[2031]]+Table154[[#This Row],[2031]]</f>
        <v>5434.0203069236341</v>
      </c>
      <c r="CM52" s="69">
        <f>Table9[[#This Row],[2032]]+Table11[[#This Row],[2032]]+Table154[[#This Row],[2032]]</f>
        <v>5179.80180253664</v>
      </c>
      <c r="CN52" s="51"/>
      <c r="CO52" s="55"/>
    </row>
    <row r="53" spans="2:93" x14ac:dyDescent="0.35">
      <c r="B53" s="7" t="s">
        <v>17</v>
      </c>
      <c r="C53" s="74">
        <f t="shared" si="46"/>
        <v>28.400000000000002</v>
      </c>
      <c r="D53" s="55">
        <f t="shared" si="58"/>
        <v>77.39</v>
      </c>
      <c r="E53" s="55">
        <f t="shared" si="60"/>
        <v>74.550000000000011</v>
      </c>
      <c r="F53" s="55">
        <f t="shared" si="60"/>
        <v>73.13000000000001</v>
      </c>
      <c r="G53" s="55">
        <f t="shared" si="60"/>
        <v>71.710000000000008</v>
      </c>
      <c r="H53" s="55">
        <f t="shared" si="60"/>
        <v>69.58</v>
      </c>
      <c r="I53" s="55">
        <f t="shared" si="60"/>
        <v>66.740000000000009</v>
      </c>
      <c r="J53" s="51">
        <v>463.67652837636416</v>
      </c>
      <c r="K53" s="55"/>
      <c r="L53" s="98" t="s">
        <v>17</v>
      </c>
      <c r="M53" s="69"/>
      <c r="N53" s="329">
        <f t="shared" si="48"/>
        <v>34.434808617831841</v>
      </c>
      <c r="O53" s="55">
        <f t="shared" si="10"/>
        <v>98.336639021611518</v>
      </c>
      <c r="P53" s="55">
        <f t="shared" si="11"/>
        <v>132.34520359707631</v>
      </c>
      <c r="Q53" s="55">
        <f t="shared" si="12"/>
        <v>130.76715314144107</v>
      </c>
      <c r="R53" s="55">
        <f t="shared" si="13"/>
        <v>129.33441513498664</v>
      </c>
      <c r="S53" s="55">
        <f t="shared" si="14"/>
        <v>124.16201857069353</v>
      </c>
      <c r="T53" s="13">
        <f>SUM(Table5[[#This Row],[2026]:[2032]])</f>
        <v>649.38023808364096</v>
      </c>
      <c r="U53" s="52"/>
      <c r="V53" t="s">
        <v>17</v>
      </c>
      <c r="W53" s="96">
        <f t="shared" si="15"/>
        <v>9.466666666666665</v>
      </c>
      <c r="X53" s="13">
        <f t="shared" si="16"/>
        <v>25.796666666666667</v>
      </c>
      <c r="Y53" s="69">
        <f t="shared" si="17"/>
        <v>24.850000000000009</v>
      </c>
      <c r="Z53" s="69">
        <f t="shared" si="18"/>
        <v>24.376666666666665</v>
      </c>
      <c r="AA53" s="69">
        <f t="shared" si="19"/>
        <v>23.903333333333336</v>
      </c>
      <c r="AB53" s="69">
        <f t="shared" si="20"/>
        <v>23.193333333333328</v>
      </c>
      <c r="AC53" s="69">
        <f t="shared" si="21"/>
        <v>22.24666666666667</v>
      </c>
      <c r="AD53" s="51">
        <f t="shared" si="22"/>
        <v>154.55884279212142</v>
      </c>
      <c r="AE53" s="55"/>
      <c r="AF53" s="93" t="s">
        <v>17</v>
      </c>
      <c r="AG53" s="69">
        <f t="shared" si="49"/>
        <v>37.866666666666667</v>
      </c>
      <c r="AH53" s="13">
        <f t="shared" si="50"/>
        <v>103.18666666666667</v>
      </c>
      <c r="AI53" s="69">
        <f t="shared" si="23"/>
        <v>99.40000000000002</v>
      </c>
      <c r="AJ53" s="69">
        <f t="shared" si="24"/>
        <v>97.506666666666675</v>
      </c>
      <c r="AK53" s="69">
        <f t="shared" si="25"/>
        <v>95.613333333333344</v>
      </c>
      <c r="AL53" s="69">
        <f t="shared" si="26"/>
        <v>92.773333333333326</v>
      </c>
      <c r="AM53" s="69">
        <f t="shared" si="27"/>
        <v>88.986666666666679</v>
      </c>
      <c r="AN53" s="51">
        <f t="shared" si="28"/>
        <v>618.23537116848559</v>
      </c>
      <c r="AO53" s="55">
        <f t="shared" si="29"/>
        <v>0</v>
      </c>
      <c r="AP53" s="98" t="s">
        <v>17</v>
      </c>
      <c r="AQ53" s="69"/>
      <c r="AR53" s="331">
        <f t="shared" si="51"/>
        <v>8.6381419511651742</v>
      </c>
      <c r="AS53" s="69">
        <f t="shared" si="30"/>
        <v>73.486639021611509</v>
      </c>
      <c r="AT53" s="69">
        <f t="shared" si="31"/>
        <v>107.96853693040964</v>
      </c>
      <c r="AU53" s="69">
        <f t="shared" si="32"/>
        <v>106.86381980810773</v>
      </c>
      <c r="AV53" s="69">
        <f t="shared" si="33"/>
        <v>106.14108180165331</v>
      </c>
      <c r="AW53" s="69">
        <f t="shared" si="59"/>
        <v>101.91535190402686</v>
      </c>
      <c r="AX53" s="13">
        <f t="shared" si="52"/>
        <v>494.82139529151954</v>
      </c>
      <c r="AY53" s="52"/>
      <c r="AZ53" s="93" t="s">
        <v>17</v>
      </c>
      <c r="BA53" s="69">
        <f>Table9[[#This Row],[2026]]</f>
        <v>37.866666666666667</v>
      </c>
      <c r="BB53" s="13">
        <f>Table9[[#This Row],[2027]]+Table11[[#This Row],[2027]]</f>
        <v>111.82480861783185</v>
      </c>
      <c r="BC53" s="69">
        <f t="shared" si="53"/>
        <v>172.88663902161153</v>
      </c>
      <c r="BD53" s="69">
        <f t="shared" si="34"/>
        <v>205.4752035970763</v>
      </c>
      <c r="BE53" s="69">
        <f t="shared" si="35"/>
        <v>202.47715314144108</v>
      </c>
      <c r="BF53" s="69">
        <f t="shared" si="36"/>
        <v>198.91441513498665</v>
      </c>
      <c r="BG53" s="69">
        <f t="shared" si="37"/>
        <v>190.90201857069354</v>
      </c>
      <c r="BH53" s="51">
        <f>SUM(Table13[[#This Row],[2026]:[2032]])</f>
        <v>1120.3469047503077</v>
      </c>
      <c r="BI53" s="55">
        <f>SUM(Table13[[#This Row],[2027]:[2032]])</f>
        <v>1082.4802380836411</v>
      </c>
      <c r="BJ53" s="75">
        <f t="shared" si="38"/>
        <v>9909.8873892570482</v>
      </c>
      <c r="BK53" s="76">
        <f t="shared" si="39"/>
        <v>9711.6849201212426</v>
      </c>
      <c r="BL53" s="93" t="s">
        <v>17</v>
      </c>
      <c r="BM53" s="69">
        <f t="shared" si="54"/>
        <v>14.2</v>
      </c>
      <c r="BN53" s="13">
        <f t="shared" si="55"/>
        <v>38.695</v>
      </c>
      <c r="BO53" s="69">
        <f t="shared" si="40"/>
        <v>37.275000000000006</v>
      </c>
      <c r="BP53" s="69">
        <f t="shared" si="41"/>
        <v>36.565000000000005</v>
      </c>
      <c r="BQ53" s="69">
        <f t="shared" si="42"/>
        <v>35.855000000000004</v>
      </c>
      <c r="BR53" s="69">
        <f t="shared" si="56"/>
        <v>34.79</v>
      </c>
      <c r="BS53" s="69">
        <f t="shared" si="43"/>
        <v>33.370000000000005</v>
      </c>
      <c r="BT53" s="51">
        <f t="shared" si="57"/>
        <v>231.83826418818211</v>
      </c>
      <c r="BU53" s="55">
        <f t="shared" si="44"/>
        <v>0</v>
      </c>
      <c r="BV53" s="93" t="s">
        <v>17</v>
      </c>
      <c r="BW53" s="29">
        <f>IF($AE$13=2027,IF($AE$18&gt;0,$AE$18*(SUM($AJ$7:$AO$7)-$G$65/60-$H$65/60-$I$65/60)*$AG$18*$AA20*0.87-Table7[[#This Row],[2026]],0),IF($AE$18&gt;0,IF(($AE$18*(SUM($AJ$7:$AO$7)-$G$65/60-$H$65/60-$I$65/60)*$AG$18*$AA20*0.87/2-Table7[[#This Row],[2026]])&gt;0,$AE$18*(SUM($AJ$7:$AO$7)-$G$65/60-$H$65/60-$I$65/60)*$AG$18*$AA20*0.87/2-Table7[[#This Row],[2026]],0),0))</f>
        <v>48.174524061926761</v>
      </c>
      <c r="BX53" s="13">
        <f>IF($AE$13=2027,0,IF($AE$18&gt;0,$AE$18*(SUM($AJ$7:$AO$7)-$G$65/60-$H$65/60-$I$65/60)*$AG$18*$AA20*0.87/2-IF(Table5[[#This Row],[2027]]-Table7[[#This Row],[2027]]&gt;0,Table5[[#This Row],[2027]]-Table7[[#This Row],[2027]],0),0))</f>
        <v>49.003048777428248</v>
      </c>
      <c r="BY53" s="69"/>
      <c r="BZ53" s="69"/>
      <c r="CA53" s="69">
        <f>-Dashboard!$E$16*(SUM($AJ$7:$AO$7)-$G$65/60-$H$65/60-$I$65/60)*Dashboard!$H$16/6*$AA20</f>
        <v>-22.084747405591351</v>
      </c>
      <c r="CB53" s="69">
        <f>-Dashboard!$E$16*(SUM($AJ$7:$AO$7)-$G$65/60-$H$65/60-$I$65/60)*Dashboard!$H$16/6*$AA20</f>
        <v>-22.084747405591351</v>
      </c>
      <c r="CC53" s="69">
        <f>-Dashboard!$E$16*(SUM($AJ$7:$AO$7)-$G$65/60-$H$65/60-$I$65/60)*Dashboard!$H$16/6*$AA20</f>
        <v>-22.084747405591351</v>
      </c>
      <c r="CD53" s="51">
        <f>SUM(Table154[[#This Row],[2026]:[2032]])</f>
        <v>30.923330622580963</v>
      </c>
      <c r="CE53" s="55"/>
      <c r="CF53" s="93" t="s">
        <v>17</v>
      </c>
      <c r="CG53" s="29">
        <f t="shared" si="45"/>
        <v>86.041190728593421</v>
      </c>
      <c r="CH53" s="13">
        <f>Table9[[#This Row],[2027]]+Table11[[#This Row],[2027]]+Table154[[#This Row],[2027]]</f>
        <v>160.82785739526008</v>
      </c>
      <c r="CI53" s="69">
        <f>Table9[[#This Row],[2028]]+Table11[[#This Row],[2028]]+Table154[[#This Row],[2028]]</f>
        <v>172.88663902161153</v>
      </c>
      <c r="CJ53" s="69">
        <f>Table9[[#This Row],[2029]]+Table11[[#This Row],[2029]]+Table154[[#This Row],[2029]]</f>
        <v>205.4752035970763</v>
      </c>
      <c r="CK53" s="69">
        <f>Table9[[#This Row],[2030]]+Table11[[#This Row],[2030]]+Table154[[#This Row],[2030]]</f>
        <v>180.39240573584974</v>
      </c>
      <c r="CL53" s="69">
        <f>Table9[[#This Row],[2031]]+Table11[[#This Row],[2031]]+Table154[[#This Row],[2031]]</f>
        <v>176.82966772939531</v>
      </c>
      <c r="CM53" s="69">
        <f>Table9[[#This Row],[2032]]+Table11[[#This Row],[2032]]+Table154[[#This Row],[2032]]</f>
        <v>168.8172711651022</v>
      </c>
      <c r="CN53" s="51"/>
      <c r="CO53" s="55"/>
    </row>
    <row r="54" spans="2:93" x14ac:dyDescent="0.35">
      <c r="B54" s="7" t="s">
        <v>18</v>
      </c>
      <c r="C54" s="74">
        <f t="shared" si="46"/>
        <v>40.800000000000004</v>
      </c>
      <c r="D54" s="55">
        <f t="shared" si="58"/>
        <v>111.18</v>
      </c>
      <c r="E54" s="55">
        <f t="shared" si="60"/>
        <v>107.10000000000001</v>
      </c>
      <c r="F54" s="55">
        <f t="shared" si="60"/>
        <v>105.06</v>
      </c>
      <c r="G54" s="55">
        <f t="shared" si="60"/>
        <v>103.02000000000001</v>
      </c>
      <c r="H54" s="55">
        <f t="shared" si="60"/>
        <v>99.960000000000008</v>
      </c>
      <c r="I54" s="55">
        <f t="shared" si="60"/>
        <v>95.88000000000001</v>
      </c>
      <c r="J54" s="51">
        <v>664.17136679680266</v>
      </c>
      <c r="K54" s="55"/>
      <c r="L54" s="98" t="s">
        <v>18</v>
      </c>
      <c r="M54" s="69"/>
      <c r="N54" s="329">
        <f t="shared" si="48"/>
        <v>57.641717936897912</v>
      </c>
      <c r="O54" s="55">
        <f t="shared" si="10"/>
        <v>164.60938907065659</v>
      </c>
      <c r="P54" s="55">
        <f t="shared" si="11"/>
        <v>221.53760111486653</v>
      </c>
      <c r="Q54" s="55">
        <f t="shared" si="12"/>
        <v>218.8960432580061</v>
      </c>
      <c r="R54" s="55">
        <f t="shared" si="13"/>
        <v>216.49772936109792</v>
      </c>
      <c r="S54" s="55">
        <f t="shared" si="14"/>
        <v>207.83946071422733</v>
      </c>
      <c r="T54" s="13">
        <f>SUM(Table5[[#This Row],[2026]:[2032]])</f>
        <v>1087.0219414557523</v>
      </c>
      <c r="U54" s="52"/>
      <c r="V54" t="s">
        <v>18</v>
      </c>
      <c r="W54" s="96">
        <f t="shared" si="15"/>
        <v>13.600000000000001</v>
      </c>
      <c r="X54" s="13">
        <f t="shared" si="16"/>
        <v>37.06</v>
      </c>
      <c r="Y54" s="69">
        <f t="shared" si="17"/>
        <v>35.700000000000003</v>
      </c>
      <c r="Z54" s="69">
        <f t="shared" si="18"/>
        <v>35.02000000000001</v>
      </c>
      <c r="AA54" s="69">
        <f t="shared" si="19"/>
        <v>34.340000000000003</v>
      </c>
      <c r="AB54" s="69">
        <f t="shared" si="20"/>
        <v>33.319999999999993</v>
      </c>
      <c r="AC54" s="69">
        <f t="shared" si="21"/>
        <v>31.960000000000008</v>
      </c>
      <c r="AD54" s="51">
        <f t="shared" si="22"/>
        <v>221.39045559893418</v>
      </c>
      <c r="AE54" s="55"/>
      <c r="AF54" s="93" t="s">
        <v>18</v>
      </c>
      <c r="AG54" s="69">
        <f t="shared" si="49"/>
        <v>54.400000000000006</v>
      </c>
      <c r="AH54" s="13">
        <f t="shared" si="50"/>
        <v>148.24</v>
      </c>
      <c r="AI54" s="69">
        <f t="shared" si="23"/>
        <v>142.80000000000001</v>
      </c>
      <c r="AJ54" s="69">
        <f t="shared" si="24"/>
        <v>140.08000000000001</v>
      </c>
      <c r="AK54" s="69">
        <f t="shared" si="25"/>
        <v>137.36000000000001</v>
      </c>
      <c r="AL54" s="69">
        <f t="shared" si="26"/>
        <v>133.28</v>
      </c>
      <c r="AM54" s="69">
        <f t="shared" si="27"/>
        <v>127.84000000000002</v>
      </c>
      <c r="AN54" s="51">
        <f t="shared" si="28"/>
        <v>885.56182239573684</v>
      </c>
      <c r="AO54" s="55">
        <f t="shared" si="29"/>
        <v>0</v>
      </c>
      <c r="AP54" s="98" t="s">
        <v>18</v>
      </c>
      <c r="AQ54" s="69"/>
      <c r="AR54" s="331">
        <f t="shared" si="51"/>
        <v>20.58171793689791</v>
      </c>
      <c r="AS54" s="69">
        <f t="shared" si="30"/>
        <v>128.90938907065657</v>
      </c>
      <c r="AT54" s="69">
        <f t="shared" si="31"/>
        <v>186.51760111486652</v>
      </c>
      <c r="AU54" s="69">
        <f t="shared" si="32"/>
        <v>184.5560432580061</v>
      </c>
      <c r="AV54" s="69">
        <f t="shared" si="33"/>
        <v>183.17772936109793</v>
      </c>
      <c r="AW54" s="69">
        <f t="shared" si="59"/>
        <v>175.87946071422732</v>
      </c>
      <c r="AX54" s="13">
        <f t="shared" si="52"/>
        <v>865.63148585681813</v>
      </c>
      <c r="AY54" s="52"/>
      <c r="AZ54" s="93" t="s">
        <v>18</v>
      </c>
      <c r="BA54" s="69">
        <f>Table9[[#This Row],[2026]]</f>
        <v>54.400000000000006</v>
      </c>
      <c r="BB54" s="13">
        <f>Table9[[#This Row],[2027]]+Table11[[#This Row],[2027]]</f>
        <v>168.82171793689793</v>
      </c>
      <c r="BC54" s="69">
        <f t="shared" si="53"/>
        <v>271.70938907065658</v>
      </c>
      <c r="BD54" s="69">
        <f t="shared" si="34"/>
        <v>326.59760111486651</v>
      </c>
      <c r="BE54" s="69">
        <f t="shared" si="35"/>
        <v>321.91604325800608</v>
      </c>
      <c r="BF54" s="69">
        <f t="shared" si="36"/>
        <v>316.4577293610979</v>
      </c>
      <c r="BG54" s="69">
        <f t="shared" si="37"/>
        <v>303.71946071422735</v>
      </c>
      <c r="BH54" s="51">
        <f>SUM(Table13[[#This Row],[2026]:[2032]])</f>
        <v>1763.6219414557522</v>
      </c>
      <c r="BI54" s="55">
        <f>SUM(Table13[[#This Row],[2027]:[2032]])</f>
        <v>1709.2219414557521</v>
      </c>
      <c r="BJ54" s="75">
        <f t="shared" si="38"/>
        <v>9909.8873892570482</v>
      </c>
      <c r="BK54" s="76">
        <f t="shared" si="39"/>
        <v>9711.6849201212426</v>
      </c>
      <c r="BL54" s="93" t="s">
        <v>18</v>
      </c>
      <c r="BM54" s="69">
        <f t="shared" si="54"/>
        <v>20.400000000000002</v>
      </c>
      <c r="BN54" s="13">
        <f t="shared" si="55"/>
        <v>55.59</v>
      </c>
      <c r="BO54" s="69">
        <f t="shared" si="40"/>
        <v>53.550000000000004</v>
      </c>
      <c r="BP54" s="69">
        <f t="shared" si="41"/>
        <v>52.53</v>
      </c>
      <c r="BQ54" s="69">
        <f t="shared" si="42"/>
        <v>51.510000000000005</v>
      </c>
      <c r="BR54" s="69">
        <f t="shared" si="56"/>
        <v>49.980000000000004</v>
      </c>
      <c r="BS54" s="69">
        <f t="shared" si="43"/>
        <v>47.940000000000005</v>
      </c>
      <c r="BT54" s="51">
        <f t="shared" si="57"/>
        <v>332.08568339840133</v>
      </c>
      <c r="BU54" s="55">
        <f t="shared" si="44"/>
        <v>0</v>
      </c>
      <c r="BV54" s="93" t="s">
        <v>18</v>
      </c>
      <c r="BW54" s="29">
        <f>IF($AE$13=2027,IF($AE$18&gt;0,$AE$18*(SUM($AJ$7:$AO$7)-$G$65/60-$H$65/60-$I$65/60)*$AG$18*$AA21*0.87-Table7[[#This Row],[2026]],0),IF($AE$18&gt;0,IF(($AE$18*(SUM($AJ$7:$AO$7)-$G$65/60-$H$65/60-$I$65/60)*$AG$18*$AA21*0.87/2-Table7[[#This Row],[2026]])&gt;0,$AE$18*(SUM($AJ$7:$AO$7)-$G$65/60-$H$65/60-$I$65/60)*$AG$18*$AA21*0.87/2-Table7[[#This Row],[2026]],0),0))</f>
        <v>82.887751519082428</v>
      </c>
      <c r="BX54" s="13">
        <f>IF($AE$13=2027,0,IF($AE$18&gt;0,$AE$18*(SUM($AJ$7:$AO$7)-$G$65/60-$H$65/60-$I$65/60)*$AG$18*$AA21*0.87/2-IF(Table5[[#This Row],[2027]]-Table7[[#This Row],[2027]]&gt;0,Table5[[#This Row],[2027]]-Table7[[#This Row],[2027]],0),0))</f>
        <v>75.906033582184534</v>
      </c>
      <c r="BY54" s="69"/>
      <c r="BZ54" s="69"/>
      <c r="CA54" s="69">
        <f>-Dashboard!$E$16*(SUM($AJ$7:$AO$7)-$G$65/60-$H$65/60-$I$65/60)*Dashboard!$H$16/6*$AA21</f>
        <v>-36.96848717206224</v>
      </c>
      <c r="CB54" s="69">
        <f>-Dashboard!$E$16*(SUM($AJ$7:$AO$7)-$G$65/60-$H$65/60-$I$65/60)*Dashboard!$H$16/6*$AA21</f>
        <v>-36.96848717206224</v>
      </c>
      <c r="CC54" s="69">
        <f>-Dashboard!$E$16*(SUM($AJ$7:$AO$7)-$G$65/60-$H$65/60-$I$65/60)*Dashboard!$H$16/6*$AA21</f>
        <v>-36.96848717206224</v>
      </c>
      <c r="CD54" s="51">
        <f>SUM(Table154[[#This Row],[2026]:[2032]])</f>
        <v>47.888323585080244</v>
      </c>
      <c r="CE54" s="55"/>
      <c r="CF54" s="93" t="s">
        <v>18</v>
      </c>
      <c r="CG54" s="29">
        <f t="shared" si="45"/>
        <v>137.28775151908243</v>
      </c>
      <c r="CH54" s="13">
        <f>Table9[[#This Row],[2027]]+Table11[[#This Row],[2027]]+Table154[[#This Row],[2027]]</f>
        <v>244.72775151908246</v>
      </c>
      <c r="CI54" s="69">
        <f>Table9[[#This Row],[2028]]+Table11[[#This Row],[2028]]+Table154[[#This Row],[2028]]</f>
        <v>271.70938907065658</v>
      </c>
      <c r="CJ54" s="69">
        <f>Table9[[#This Row],[2029]]+Table11[[#This Row],[2029]]+Table154[[#This Row],[2029]]</f>
        <v>326.59760111486651</v>
      </c>
      <c r="CK54" s="69">
        <f>Table9[[#This Row],[2030]]+Table11[[#This Row],[2030]]+Table154[[#This Row],[2030]]</f>
        <v>284.94755608594386</v>
      </c>
      <c r="CL54" s="69">
        <f>Table9[[#This Row],[2031]]+Table11[[#This Row],[2031]]+Table154[[#This Row],[2031]]</f>
        <v>279.48924218903568</v>
      </c>
      <c r="CM54" s="69">
        <f>Table9[[#This Row],[2032]]+Table11[[#This Row],[2032]]+Table154[[#This Row],[2032]]</f>
        <v>266.75097354216513</v>
      </c>
      <c r="CN54" s="51"/>
      <c r="CO54" s="55"/>
    </row>
    <row r="55" spans="2:93" x14ac:dyDescent="0.35">
      <c r="B55" s="7" t="s">
        <v>19</v>
      </c>
      <c r="C55" s="74">
        <f t="shared" si="46"/>
        <v>4</v>
      </c>
      <c r="D55" s="55">
        <f t="shared" si="58"/>
        <v>10.9</v>
      </c>
      <c r="E55" s="55">
        <f t="shared" si="60"/>
        <v>10.5</v>
      </c>
      <c r="F55" s="55">
        <f t="shared" si="60"/>
        <v>10.3</v>
      </c>
      <c r="G55" s="55">
        <f t="shared" si="60"/>
        <v>10.1</v>
      </c>
      <c r="H55" s="55">
        <f t="shared" si="60"/>
        <v>9.8000000000000007</v>
      </c>
      <c r="I55" s="55">
        <f t="shared" si="60"/>
        <v>9.4</v>
      </c>
      <c r="J55" s="51">
        <v>66.107509578594531</v>
      </c>
      <c r="K55" s="55"/>
      <c r="L55" s="98" t="s">
        <v>19</v>
      </c>
      <c r="M55" s="69"/>
      <c r="N55" s="329">
        <f t="shared" si="48"/>
        <v>59.416086876649054</v>
      </c>
      <c r="O55" s="55">
        <f t="shared" si="10"/>
        <v>169.67651402134129</v>
      </c>
      <c r="P55" s="55">
        <f t="shared" si="11"/>
        <v>228.35713135224643</v>
      </c>
      <c r="Q55" s="55">
        <f t="shared" si="12"/>
        <v>225.63425915602329</v>
      </c>
      <c r="R55" s="55">
        <f t="shared" si="13"/>
        <v>223.16211863078482</v>
      </c>
      <c r="S55" s="55">
        <f t="shared" si="14"/>
        <v>214.23732491302985</v>
      </c>
      <c r="T55" s="13">
        <f>SUM(Table5[[#This Row],[2026]:[2032]])</f>
        <v>1120.4834349500748</v>
      </c>
      <c r="U55" s="52"/>
      <c r="V55" t="s">
        <v>19</v>
      </c>
      <c r="W55" s="96">
        <f t="shared" si="15"/>
        <v>1.333333333333333</v>
      </c>
      <c r="X55" s="13">
        <f t="shared" si="16"/>
        <v>3.6333333333333329</v>
      </c>
      <c r="Y55" s="69">
        <f t="shared" si="17"/>
        <v>3.5</v>
      </c>
      <c r="Z55" s="69">
        <f t="shared" si="18"/>
        <v>3.4333333333333336</v>
      </c>
      <c r="AA55" s="69">
        <f t="shared" si="19"/>
        <v>3.3666666666666671</v>
      </c>
      <c r="AB55" s="69">
        <f t="shared" si="20"/>
        <v>3.2666666666666675</v>
      </c>
      <c r="AC55" s="69">
        <f t="shared" si="21"/>
        <v>3.1333333333333329</v>
      </c>
      <c r="AD55" s="51">
        <f t="shared" si="22"/>
        <v>22.035836526198182</v>
      </c>
      <c r="AE55" s="55"/>
      <c r="AF55" s="93" t="s">
        <v>19</v>
      </c>
      <c r="AG55" s="69">
        <f t="shared" si="49"/>
        <v>5.333333333333333</v>
      </c>
      <c r="AH55" s="13">
        <f t="shared" si="50"/>
        <v>14.533333333333333</v>
      </c>
      <c r="AI55" s="69">
        <f t="shared" si="23"/>
        <v>14</v>
      </c>
      <c r="AJ55" s="69">
        <f t="shared" si="24"/>
        <v>13.733333333333334</v>
      </c>
      <c r="AK55" s="69">
        <f t="shared" si="25"/>
        <v>13.466666666666667</v>
      </c>
      <c r="AL55" s="69">
        <f t="shared" si="26"/>
        <v>13.066666666666668</v>
      </c>
      <c r="AM55" s="69">
        <f t="shared" si="27"/>
        <v>12.533333333333333</v>
      </c>
      <c r="AN55" s="51">
        <f t="shared" si="28"/>
        <v>88.143346104792712</v>
      </c>
      <c r="AO55" s="55">
        <f t="shared" si="29"/>
        <v>0</v>
      </c>
      <c r="AP55" s="98" t="s">
        <v>19</v>
      </c>
      <c r="AQ55" s="69"/>
      <c r="AR55" s="331">
        <f t="shared" si="51"/>
        <v>55.782753543315721</v>
      </c>
      <c r="AS55" s="69">
        <f t="shared" si="30"/>
        <v>166.17651402134129</v>
      </c>
      <c r="AT55" s="69">
        <f t="shared" si="31"/>
        <v>224.92379801891309</v>
      </c>
      <c r="AU55" s="69">
        <f t="shared" si="32"/>
        <v>222.26759248935662</v>
      </c>
      <c r="AV55" s="69">
        <f t="shared" si="33"/>
        <v>219.89545196411814</v>
      </c>
      <c r="AW55" s="69">
        <f t="shared" si="59"/>
        <v>211.10399157969653</v>
      </c>
      <c r="AX55" s="13">
        <f t="shared" si="52"/>
        <v>1098.4475984238766</v>
      </c>
      <c r="AY55" s="52"/>
      <c r="AZ55" s="93" t="s">
        <v>19</v>
      </c>
      <c r="BA55" s="69">
        <f>Table9[[#This Row],[2026]]</f>
        <v>5.333333333333333</v>
      </c>
      <c r="BB55" s="13">
        <f>Table9[[#This Row],[2027]]+Table11[[#This Row],[2027]]</f>
        <v>70.316086876649052</v>
      </c>
      <c r="BC55" s="69">
        <f t="shared" si="53"/>
        <v>180.17651402134129</v>
      </c>
      <c r="BD55" s="69">
        <f t="shared" si="34"/>
        <v>238.65713135224644</v>
      </c>
      <c r="BE55" s="69">
        <f t="shared" si="35"/>
        <v>235.73425915602328</v>
      </c>
      <c r="BF55" s="69">
        <f t="shared" si="36"/>
        <v>232.96211863078483</v>
      </c>
      <c r="BG55" s="69">
        <f t="shared" si="37"/>
        <v>223.63732491302986</v>
      </c>
      <c r="BH55" s="51">
        <f>SUM(Table13[[#This Row],[2026]:[2032]])</f>
        <v>1186.8167682834082</v>
      </c>
      <c r="BI55" s="55">
        <f>SUM(Table13[[#This Row],[2027]:[2032]])</f>
        <v>1181.4834349500748</v>
      </c>
      <c r="BJ55" s="75">
        <f t="shared" si="38"/>
        <v>9909.8873892570482</v>
      </c>
      <c r="BK55" s="76">
        <f t="shared" si="39"/>
        <v>9711.6849201212426</v>
      </c>
      <c r="BL55" s="93" t="s">
        <v>19</v>
      </c>
      <c r="BM55" s="69">
        <f t="shared" si="54"/>
        <v>2</v>
      </c>
      <c r="BN55" s="13">
        <f t="shared" si="55"/>
        <v>5.45</v>
      </c>
      <c r="BO55" s="69">
        <f t="shared" si="40"/>
        <v>5.25</v>
      </c>
      <c r="BP55" s="69">
        <f t="shared" si="41"/>
        <v>5.15</v>
      </c>
      <c r="BQ55" s="69">
        <f t="shared" si="42"/>
        <v>5.05</v>
      </c>
      <c r="BR55" s="69">
        <f t="shared" si="56"/>
        <v>4.9000000000000004</v>
      </c>
      <c r="BS55" s="69">
        <f t="shared" si="43"/>
        <v>4.7</v>
      </c>
      <c r="BT55" s="51">
        <f t="shared" si="57"/>
        <v>33.053754789297265</v>
      </c>
      <c r="BU55" s="55">
        <f t="shared" si="44"/>
        <v>0</v>
      </c>
      <c r="BV55" s="93" t="s">
        <v>19</v>
      </c>
      <c r="BW55" s="29">
        <f>IF($AE$13=2027,IF($AE$18&gt;0,$AE$18*(SUM($AJ$7:$AO$7)-$G$65/60-$H$65/60-$I$65/60)*$AG$18*$AA22*0.87-Table7[[#This Row],[2026]],0),IF($AE$18&gt;0,IF(($AE$18*(SUM($AJ$7:$AO$7)-$G$65/60-$H$65/60-$I$65/60)*$AG$18*$AA22*0.87/2-Table7[[#This Row],[2026]])&gt;0,$AE$18*(SUM($AJ$7:$AO$7)-$G$65/60-$H$65/60-$I$65/60)*$AG$18*$AA22*0.87/2-Table7[[#This Row],[2026]],0),0))</f>
        <v>98.124573751711054</v>
      </c>
      <c r="BX55" s="13">
        <f>IF($AE$13=2027,0,IF($AE$18&gt;0,$AE$18*(SUM($AJ$7:$AO$7)-$G$65/60-$H$65/60-$I$65/60)*$AG$18*$AA22*0.87/2-IF(Table5[[#This Row],[2027]]-Table7[[#This Row],[2027]]&gt;0,Table5[[#This Row],[2027]]-Table7[[#This Row],[2027]],0),0))</f>
        <v>43.675153541728662</v>
      </c>
      <c r="BY55" s="69"/>
      <c r="BZ55" s="69"/>
      <c r="CA55" s="69">
        <f>-Dashboard!$E$16*(SUM($AJ$7:$AO$7)-$G$65/60-$H$65/60-$I$65/60)*Dashboard!$H$16/6*$AA22</f>
        <v>-38.106477810361838</v>
      </c>
      <c r="CB55" s="69">
        <f>-Dashboard!$E$16*(SUM($AJ$7:$AO$7)-$G$65/60-$H$65/60-$I$65/60)*Dashboard!$H$16/6*$AA22</f>
        <v>-38.106477810361838</v>
      </c>
      <c r="CC55" s="69">
        <f>-Dashboard!$E$16*(SUM($AJ$7:$AO$7)-$G$65/60-$H$65/60-$I$65/60)*Dashboard!$H$16/6*$AA22</f>
        <v>-38.106477810361838</v>
      </c>
      <c r="CD55" s="51">
        <f>SUM(Table154[[#This Row],[2026]:[2032]])</f>
        <v>27.480293862354216</v>
      </c>
      <c r="CE55" s="55"/>
      <c r="CF55" s="93" t="s">
        <v>19</v>
      </c>
      <c r="CG55" s="29">
        <f t="shared" si="45"/>
        <v>103.45790708504438</v>
      </c>
      <c r="CH55" s="13">
        <f>Table9[[#This Row],[2027]]+Table11[[#This Row],[2027]]+Table154[[#This Row],[2027]]</f>
        <v>113.99124041837771</v>
      </c>
      <c r="CI55" s="69">
        <f>Table9[[#This Row],[2028]]+Table11[[#This Row],[2028]]+Table154[[#This Row],[2028]]</f>
        <v>180.17651402134129</v>
      </c>
      <c r="CJ55" s="69">
        <f>Table9[[#This Row],[2029]]+Table11[[#This Row],[2029]]+Table154[[#This Row],[2029]]</f>
        <v>238.65713135224644</v>
      </c>
      <c r="CK55" s="69">
        <f>Table9[[#This Row],[2030]]+Table11[[#This Row],[2030]]+Table154[[#This Row],[2030]]</f>
        <v>197.62778134566145</v>
      </c>
      <c r="CL55" s="69">
        <f>Table9[[#This Row],[2031]]+Table11[[#This Row],[2031]]+Table154[[#This Row],[2031]]</f>
        <v>194.85564082042296</v>
      </c>
      <c r="CM55" s="69">
        <f>Table9[[#This Row],[2032]]+Table11[[#This Row],[2032]]+Table154[[#This Row],[2032]]</f>
        <v>185.53084710266802</v>
      </c>
      <c r="CN55" s="51"/>
      <c r="CO55" s="55"/>
    </row>
    <row r="56" spans="2:93" x14ac:dyDescent="0.35">
      <c r="B56" s="7" t="s">
        <v>20</v>
      </c>
      <c r="C56" s="74">
        <f t="shared" si="46"/>
        <v>2.8</v>
      </c>
      <c r="D56" s="55">
        <f t="shared" si="58"/>
        <v>7.63</v>
      </c>
      <c r="E56" s="55">
        <f t="shared" si="60"/>
        <v>7.35</v>
      </c>
      <c r="F56" s="55">
        <f t="shared" si="60"/>
        <v>7.21</v>
      </c>
      <c r="G56" s="55">
        <f t="shared" si="60"/>
        <v>7.07</v>
      </c>
      <c r="H56" s="55">
        <f t="shared" si="60"/>
        <v>6.86</v>
      </c>
      <c r="I56" s="55">
        <f t="shared" si="60"/>
        <v>6.58</v>
      </c>
      <c r="J56" s="51">
        <v>45.5</v>
      </c>
      <c r="K56" s="55"/>
      <c r="L56" s="98" t="s">
        <v>20</v>
      </c>
      <c r="M56" s="69"/>
      <c r="N56" s="329">
        <f t="shared" si="48"/>
        <v>5.8277784545230853</v>
      </c>
      <c r="O56" s="55">
        <f t="shared" si="10"/>
        <v>16.642582583821703</v>
      </c>
      <c r="P56" s="55">
        <f t="shared" si="11"/>
        <v>22.398223107391129</v>
      </c>
      <c r="Q56" s="55">
        <f t="shared" si="12"/>
        <v>22.131152407287427</v>
      </c>
      <c r="R56" s="55">
        <f t="shared" si="13"/>
        <v>21.88867451877471</v>
      </c>
      <c r="S56" s="55">
        <f t="shared" si="14"/>
        <v>21.013293401075483</v>
      </c>
      <c r="T56" s="13">
        <f>SUM(Table5[[#This Row],[2026]:[2032]])</f>
        <v>109.90170447287353</v>
      </c>
      <c r="U56" s="52"/>
      <c r="V56" t="s">
        <v>20</v>
      </c>
      <c r="W56" s="96">
        <f t="shared" si="15"/>
        <v>0.93333333333333313</v>
      </c>
      <c r="X56" s="13">
        <f t="shared" si="16"/>
        <v>2.5433333333333339</v>
      </c>
      <c r="Y56" s="69">
        <f t="shared" si="17"/>
        <v>2.4499999999999993</v>
      </c>
      <c r="Z56" s="69">
        <f t="shared" si="18"/>
        <v>2.4033333333333333</v>
      </c>
      <c r="AA56" s="69">
        <f t="shared" si="19"/>
        <v>2.3566666666666674</v>
      </c>
      <c r="AB56" s="69">
        <f t="shared" si="20"/>
        <v>2.2866666666666662</v>
      </c>
      <c r="AC56" s="69">
        <f t="shared" si="21"/>
        <v>2.1933333333333334</v>
      </c>
      <c r="AD56" s="51">
        <f t="shared" si="22"/>
        <v>15.166666666666664</v>
      </c>
      <c r="AE56" s="55"/>
      <c r="AF56" s="93" t="s">
        <v>20</v>
      </c>
      <c r="AG56" s="69">
        <f t="shared" si="49"/>
        <v>3.7333333333333329</v>
      </c>
      <c r="AH56" s="13">
        <f t="shared" si="50"/>
        <v>10.173333333333334</v>
      </c>
      <c r="AI56" s="69">
        <f t="shared" si="23"/>
        <v>9.7999999999999989</v>
      </c>
      <c r="AJ56" s="69">
        <f t="shared" si="24"/>
        <v>9.6133333333333333</v>
      </c>
      <c r="AK56" s="69">
        <f t="shared" si="25"/>
        <v>9.4266666666666676</v>
      </c>
      <c r="AL56" s="69">
        <f t="shared" si="26"/>
        <v>9.1466666666666665</v>
      </c>
      <c r="AM56" s="69">
        <f t="shared" si="27"/>
        <v>8.7733333333333334</v>
      </c>
      <c r="AN56" s="51">
        <f t="shared" si="28"/>
        <v>60.666666666666664</v>
      </c>
      <c r="AO56" s="55">
        <f t="shared" si="29"/>
        <v>0</v>
      </c>
      <c r="AP56" s="98" t="s">
        <v>20</v>
      </c>
      <c r="AQ56" s="69"/>
      <c r="AR56" s="331">
        <f t="shared" si="51"/>
        <v>3.2844451211897514</v>
      </c>
      <c r="AS56" s="69">
        <f t="shared" si="30"/>
        <v>14.192582583821704</v>
      </c>
      <c r="AT56" s="69">
        <f t="shared" si="31"/>
        <v>19.994889774057796</v>
      </c>
      <c r="AU56" s="69">
        <f t="shared" si="32"/>
        <v>19.774485740620761</v>
      </c>
      <c r="AV56" s="69">
        <f t="shared" si="33"/>
        <v>19.602007852108045</v>
      </c>
      <c r="AW56" s="69">
        <f t="shared" si="59"/>
        <v>18.819960067742151</v>
      </c>
      <c r="AX56" s="13">
        <f t="shared" si="52"/>
        <v>94.735037806206861</v>
      </c>
      <c r="AY56" s="52"/>
      <c r="AZ56" s="93" t="s">
        <v>20</v>
      </c>
      <c r="BA56" s="69">
        <f>Table9[[#This Row],[2026]]</f>
        <v>3.7333333333333329</v>
      </c>
      <c r="BB56" s="13">
        <f>Table9[[#This Row],[2027]]+Table11[[#This Row],[2027]]</f>
        <v>13.457778454523085</v>
      </c>
      <c r="BC56" s="69">
        <f t="shared" si="53"/>
        <v>23.992582583821701</v>
      </c>
      <c r="BD56" s="69">
        <f t="shared" si="34"/>
        <v>29.60822310739113</v>
      </c>
      <c r="BE56" s="69">
        <f t="shared" si="35"/>
        <v>29.201152407287427</v>
      </c>
      <c r="BF56" s="69">
        <f t="shared" si="36"/>
        <v>28.74867451877471</v>
      </c>
      <c r="BG56" s="69">
        <f t="shared" si="37"/>
        <v>27.593293401075485</v>
      </c>
      <c r="BH56" s="51">
        <f>SUM(Table13[[#This Row],[2026]:[2032]])</f>
        <v>156.33503780620686</v>
      </c>
      <c r="BI56" s="55">
        <f>SUM(Table13[[#This Row],[2027]:[2032]])</f>
        <v>152.60170447287354</v>
      </c>
      <c r="BJ56" s="75">
        <f t="shared" si="38"/>
        <v>9909.8873892570482</v>
      </c>
      <c r="BK56" s="76">
        <f t="shared" si="39"/>
        <v>9711.6849201212426</v>
      </c>
      <c r="BL56" s="93" t="s">
        <v>20</v>
      </c>
      <c r="BM56" s="69">
        <f t="shared" si="54"/>
        <v>1.4</v>
      </c>
      <c r="BN56" s="13">
        <f t="shared" si="55"/>
        <v>3.8150000000000004</v>
      </c>
      <c r="BO56" s="69">
        <f t="shared" si="40"/>
        <v>3.6749999999999998</v>
      </c>
      <c r="BP56" s="69">
        <f t="shared" si="41"/>
        <v>3.605</v>
      </c>
      <c r="BQ56" s="69">
        <f t="shared" si="42"/>
        <v>3.5350000000000001</v>
      </c>
      <c r="BR56" s="69">
        <f t="shared" si="56"/>
        <v>3.4299999999999997</v>
      </c>
      <c r="BS56" s="69">
        <f t="shared" si="43"/>
        <v>3.29</v>
      </c>
      <c r="BT56" s="51">
        <f t="shared" si="57"/>
        <v>22.75</v>
      </c>
      <c r="BU56" s="55">
        <f t="shared" si="44"/>
        <v>0</v>
      </c>
      <c r="BV56" s="93" t="s">
        <v>20</v>
      </c>
      <c r="BW56" s="29">
        <f>IF($AE$13=2027,IF($AE$18&gt;0,$AE$18*(SUM($AJ$7:$AO$7)-$G$65/60-$H$65/60-$I$65/60)*$AG$18*$AA23*0.87-Table7[[#This Row],[2026]],0),IF($AE$18&gt;0,IF(($AE$18*(SUM($AJ$7:$AO$7)-$G$65/60-$H$65/60-$I$65/60)*$AG$18*$AA23*0.87/2-Table7[[#This Row],[2026]])&gt;0,$AE$18*(SUM($AJ$7:$AO$7)-$G$65/60-$H$65/60-$I$65/60)*$AG$18*$AA23*0.87/2-Table7[[#This Row],[2026]],0),0))</f>
        <v>8.8219144204526003</v>
      </c>
      <c r="BX56" s="13">
        <f>IF($AE$13=2027,0,IF($AE$18&gt;0,$AE$18*(SUM($AJ$7:$AO$7)-$G$65/60-$H$65/60-$I$65/60)*$AG$18*$AA23*0.87/2-IF(Table5[[#This Row],[2027]]-Table7[[#This Row],[2027]]&gt;0,Table5[[#This Row],[2027]]-Table7[[#This Row],[2027]],0),0))</f>
        <v>6.4708026325961825</v>
      </c>
      <c r="BY56" s="69"/>
      <c r="BZ56" s="69"/>
      <c r="CA56" s="69">
        <f>-Dashboard!$E$16*(SUM($AJ$7:$AO$7)-$G$65/60-$H$65/60-$I$65/60)*Dashboard!$H$16/6*$AA23</f>
        <v>-3.7376428175425032</v>
      </c>
      <c r="CB56" s="69">
        <f>-Dashboard!$E$16*(SUM($AJ$7:$AO$7)-$G$65/60-$H$65/60-$I$65/60)*Dashboard!$H$16/6*$AA23</f>
        <v>-3.7376428175425032</v>
      </c>
      <c r="CC56" s="69">
        <f>-Dashboard!$E$16*(SUM($AJ$7:$AO$7)-$G$65/60-$H$65/60-$I$65/60)*Dashboard!$H$16/6*$AA23</f>
        <v>-3.7376428175425032</v>
      </c>
      <c r="CD56" s="51">
        <f>SUM(Table154[[#This Row],[2026]:[2032]])</f>
        <v>4.0797886004212724</v>
      </c>
      <c r="CE56" s="55"/>
      <c r="CF56" s="93" t="s">
        <v>20</v>
      </c>
      <c r="CG56" s="29">
        <f t="shared" si="45"/>
        <v>12.555247753785933</v>
      </c>
      <c r="CH56" s="13">
        <f>Table9[[#This Row],[2027]]+Table11[[#This Row],[2027]]+Table154[[#This Row],[2027]]</f>
        <v>19.928581087119269</v>
      </c>
      <c r="CI56" s="69">
        <f>Table9[[#This Row],[2028]]+Table11[[#This Row],[2028]]+Table154[[#This Row],[2028]]</f>
        <v>23.992582583821701</v>
      </c>
      <c r="CJ56" s="69">
        <f>Table9[[#This Row],[2029]]+Table11[[#This Row],[2029]]+Table154[[#This Row],[2029]]</f>
        <v>29.60822310739113</v>
      </c>
      <c r="CK56" s="69">
        <f>Table9[[#This Row],[2030]]+Table11[[#This Row],[2030]]+Table154[[#This Row],[2030]]</f>
        <v>25.463509589744927</v>
      </c>
      <c r="CL56" s="69">
        <f>Table9[[#This Row],[2031]]+Table11[[#This Row],[2031]]+Table154[[#This Row],[2031]]</f>
        <v>25.011031701232209</v>
      </c>
      <c r="CM56" s="69">
        <f>Table9[[#This Row],[2032]]+Table11[[#This Row],[2032]]+Table154[[#This Row],[2032]]</f>
        <v>23.855650583532981</v>
      </c>
      <c r="CN56" s="51"/>
      <c r="CO56" s="55"/>
    </row>
    <row r="57" spans="2:93" x14ac:dyDescent="0.35">
      <c r="B57" s="7" t="s">
        <v>21</v>
      </c>
      <c r="C57" s="74">
        <f t="shared" si="46"/>
        <v>44.4</v>
      </c>
      <c r="D57" s="55">
        <f t="shared" si="58"/>
        <v>120.99000000000001</v>
      </c>
      <c r="E57" s="55">
        <f t="shared" si="60"/>
        <v>116.55000000000001</v>
      </c>
      <c r="F57" s="55">
        <f t="shared" si="60"/>
        <v>114.33</v>
      </c>
      <c r="G57" s="55">
        <f t="shared" si="60"/>
        <v>112.11</v>
      </c>
      <c r="H57" s="55">
        <f t="shared" si="60"/>
        <v>108.78</v>
      </c>
      <c r="I57" s="55">
        <f t="shared" si="60"/>
        <v>104.34</v>
      </c>
      <c r="J57" s="51">
        <v>720.51722497306434</v>
      </c>
      <c r="K57" s="55"/>
      <c r="L57" s="98" t="s">
        <v>21</v>
      </c>
      <c r="M57" s="69"/>
      <c r="N57" s="329">
        <f t="shared" si="48"/>
        <v>444.7916309486555</v>
      </c>
      <c r="O57" s="55">
        <f t="shared" si="10"/>
        <v>1270.2063931257533</v>
      </c>
      <c r="P57" s="55">
        <f t="shared" si="11"/>
        <v>1709.4922643389411</v>
      </c>
      <c r="Q57" s="55">
        <f t="shared" si="12"/>
        <v>1689.1087145515382</v>
      </c>
      <c r="R57" s="55">
        <f t="shared" si="13"/>
        <v>1670.6021538882976</v>
      </c>
      <c r="S57" s="55">
        <f t="shared" si="14"/>
        <v>1603.790726844275</v>
      </c>
      <c r="T57" s="13">
        <f>SUM(Table5[[#This Row],[2026]:[2032]])</f>
        <v>8387.9918836974612</v>
      </c>
      <c r="U57" s="52"/>
      <c r="V57" t="s">
        <v>21</v>
      </c>
      <c r="W57" s="96">
        <f t="shared" si="15"/>
        <v>14.799999999999997</v>
      </c>
      <c r="X57" s="13">
        <f t="shared" si="16"/>
        <v>40.330000000000013</v>
      </c>
      <c r="Y57" s="69">
        <f t="shared" si="17"/>
        <v>38.849999999999994</v>
      </c>
      <c r="Z57" s="69">
        <f t="shared" si="18"/>
        <v>38.11</v>
      </c>
      <c r="AA57" s="69">
        <f t="shared" si="19"/>
        <v>37.36999999999999</v>
      </c>
      <c r="AB57" s="69">
        <f t="shared" si="20"/>
        <v>36.259999999999991</v>
      </c>
      <c r="AC57" s="69">
        <f t="shared" si="21"/>
        <v>34.78</v>
      </c>
      <c r="AD57" s="51">
        <f t="shared" si="22"/>
        <v>240.17240832435482</v>
      </c>
      <c r="AE57" s="55"/>
      <c r="AF57" s="93" t="s">
        <v>21</v>
      </c>
      <c r="AG57" s="69">
        <f t="shared" si="49"/>
        <v>59.199999999999996</v>
      </c>
      <c r="AH57" s="13">
        <f t="shared" si="50"/>
        <v>161.32000000000002</v>
      </c>
      <c r="AI57" s="69">
        <f t="shared" si="23"/>
        <v>155.4</v>
      </c>
      <c r="AJ57" s="69">
        <f t="shared" si="24"/>
        <v>152.44</v>
      </c>
      <c r="AK57" s="69">
        <f t="shared" si="25"/>
        <v>149.47999999999999</v>
      </c>
      <c r="AL57" s="69">
        <f t="shared" si="26"/>
        <v>145.04</v>
      </c>
      <c r="AM57" s="69">
        <f t="shared" si="27"/>
        <v>139.12</v>
      </c>
      <c r="AN57" s="51">
        <f t="shared" si="28"/>
        <v>960.68963329741916</v>
      </c>
      <c r="AO57" s="55">
        <f t="shared" si="29"/>
        <v>0</v>
      </c>
      <c r="AP57" s="98" t="s">
        <v>21</v>
      </c>
      <c r="AQ57" s="69"/>
      <c r="AR57" s="331">
        <f t="shared" si="51"/>
        <v>404.46163094865551</v>
      </c>
      <c r="AS57" s="69">
        <f t="shared" si="30"/>
        <v>1231.3563931257534</v>
      </c>
      <c r="AT57" s="69">
        <f t="shared" si="31"/>
        <v>1671.3822643389412</v>
      </c>
      <c r="AU57" s="69">
        <f t="shared" si="32"/>
        <v>1651.7387145515384</v>
      </c>
      <c r="AV57" s="69">
        <f t="shared" si="33"/>
        <v>1634.3421538882976</v>
      </c>
      <c r="AW57" s="69">
        <f t="shared" si="59"/>
        <v>1569.010726844275</v>
      </c>
      <c r="AX57" s="13">
        <f t="shared" si="52"/>
        <v>8147.8194753731059</v>
      </c>
      <c r="AY57" s="52"/>
      <c r="AZ57" s="93" t="s">
        <v>21</v>
      </c>
      <c r="BA57" s="69">
        <f>Table9[[#This Row],[2026]]</f>
        <v>59.199999999999996</v>
      </c>
      <c r="BB57" s="13">
        <f>Table9[[#This Row],[2027]]+Table11[[#This Row],[2027]]</f>
        <v>565.78163094865556</v>
      </c>
      <c r="BC57" s="69">
        <f t="shared" si="53"/>
        <v>1386.7563931257532</v>
      </c>
      <c r="BD57" s="69">
        <f t="shared" si="34"/>
        <v>1823.8222643389411</v>
      </c>
      <c r="BE57" s="69">
        <f t="shared" si="35"/>
        <v>1801.2187145515381</v>
      </c>
      <c r="BF57" s="69">
        <f t="shared" si="36"/>
        <v>1779.3821538882976</v>
      </c>
      <c r="BG57" s="69">
        <f t="shared" si="37"/>
        <v>1708.1307268442749</v>
      </c>
      <c r="BH57" s="51">
        <f>SUM(Table13[[#This Row],[2026]:[2032]])</f>
        <v>9124.2918836974604</v>
      </c>
      <c r="BI57" s="55">
        <f>SUM(Table13[[#This Row],[2027]:[2032]])</f>
        <v>9065.0918836974597</v>
      </c>
      <c r="BJ57" s="75">
        <f t="shared" si="38"/>
        <v>9909.8873892570482</v>
      </c>
      <c r="BK57" s="76">
        <f t="shared" si="39"/>
        <v>9711.6849201212426</v>
      </c>
      <c r="BL57" s="93" t="s">
        <v>21</v>
      </c>
      <c r="BM57" s="69">
        <f t="shared" si="54"/>
        <v>22.2</v>
      </c>
      <c r="BN57" s="13">
        <f t="shared" si="55"/>
        <v>60.495000000000005</v>
      </c>
      <c r="BO57" s="69">
        <f t="shared" si="40"/>
        <v>58.275000000000006</v>
      </c>
      <c r="BP57" s="69">
        <f t="shared" si="41"/>
        <v>57.164999999999999</v>
      </c>
      <c r="BQ57" s="69">
        <f t="shared" si="42"/>
        <v>56.054999999999993</v>
      </c>
      <c r="BR57" s="69">
        <f t="shared" si="56"/>
        <v>54.39</v>
      </c>
      <c r="BS57" s="69">
        <f t="shared" si="43"/>
        <v>52.17</v>
      </c>
      <c r="BT57" s="51">
        <f t="shared" si="57"/>
        <v>360.25861248653217</v>
      </c>
      <c r="BU57" s="55">
        <f t="shared" si="44"/>
        <v>0</v>
      </c>
      <c r="BV57" s="93" t="s">
        <v>21</v>
      </c>
      <c r="BW57" s="29">
        <f>IF($AE$13=2027,IF($AE$18&gt;0,$AE$18*(SUM($AJ$7:$AO$7)-$G$65/60-$H$65/60-$I$65/60)*$AG$18*$AA24*0.87-Table7[[#This Row],[2026]],0),IF($AE$18&gt;0,IF(($AE$18*(SUM($AJ$7:$AO$7)-$G$65/60-$H$65/60-$I$65/60)*$AG$18*$AA24*0.87/2-Table7[[#This Row],[2026]])&gt;0,$AE$18*(SUM($AJ$7:$AO$7)-$G$65/60-$H$65/60-$I$65/60)*$AG$18*$AA24*0.87/2-Table7[[#This Row],[2026]],0),0))</f>
        <v>729.74658710421738</v>
      </c>
      <c r="BX57" s="13">
        <f>IF($AE$13=2027,0,IF($AE$18&gt;0,$AE$18*(SUM($AJ$7:$AO$7)-$G$65/60-$H$65/60-$I$65/60)*$AG$18*$AA24*0.87/2-IF(Table5[[#This Row],[2027]]-Table7[[#This Row],[2027]]&gt;0,Table5[[#This Row],[2027]]-Table7[[#This Row],[2027]],0),0))</f>
        <v>340.08495615556183</v>
      </c>
      <c r="BY57" s="69"/>
      <c r="BZ57" s="69"/>
      <c r="CA57" s="69">
        <f>-Dashboard!$E$16*(SUM($AJ$7:$AO$7)-$G$65/60-$H$65/60-$I$65/60)*Dashboard!$H$16/6*$AA24</f>
        <v>-285.26689161081123</v>
      </c>
      <c r="CB57" s="69">
        <f>-Dashboard!$E$16*(SUM($AJ$7:$AO$7)-$G$65/60-$H$65/60-$I$65/60)*Dashboard!$H$16/6*$AA24</f>
        <v>-285.26689161081123</v>
      </c>
      <c r="CC57" s="69">
        <f>-Dashboard!$E$16*(SUM($AJ$7:$AO$7)-$G$65/60-$H$65/60-$I$65/60)*Dashboard!$H$16/6*$AA24</f>
        <v>-285.26689161081123</v>
      </c>
      <c r="CD57" s="51">
        <f>SUM(Table154[[#This Row],[2026]:[2032]])</f>
        <v>214.03086842734558</v>
      </c>
      <c r="CE57" s="55"/>
      <c r="CF57" s="93" t="s">
        <v>21</v>
      </c>
      <c r="CG57" s="29">
        <f t="shared" si="45"/>
        <v>788.94658710421743</v>
      </c>
      <c r="CH57" s="13">
        <f>Table9[[#This Row],[2027]]+Table11[[#This Row],[2027]]+Table154[[#This Row],[2027]]</f>
        <v>905.86658710421739</v>
      </c>
      <c r="CI57" s="69">
        <f>Table9[[#This Row],[2028]]+Table11[[#This Row],[2028]]+Table154[[#This Row],[2028]]</f>
        <v>1386.7563931257534</v>
      </c>
      <c r="CJ57" s="69">
        <f>Table9[[#This Row],[2029]]+Table11[[#This Row],[2029]]+Table154[[#This Row],[2029]]</f>
        <v>1823.8222643389413</v>
      </c>
      <c r="CK57" s="69">
        <f>Table9[[#This Row],[2030]]+Table11[[#This Row],[2030]]+Table154[[#This Row],[2030]]</f>
        <v>1515.9518229407272</v>
      </c>
      <c r="CL57" s="69">
        <f>Table9[[#This Row],[2031]]+Table11[[#This Row],[2031]]+Table154[[#This Row],[2031]]</f>
        <v>1494.1152622774864</v>
      </c>
      <c r="CM57" s="69">
        <f>Table9[[#This Row],[2032]]+Table11[[#This Row],[2032]]+Table154[[#This Row],[2032]]</f>
        <v>1422.863835233464</v>
      </c>
      <c r="CN57" s="51"/>
      <c r="CO57" s="55"/>
    </row>
    <row r="58" spans="2:93" x14ac:dyDescent="0.35">
      <c r="B58" s="7" t="s">
        <v>22</v>
      </c>
      <c r="C58" s="74">
        <f t="shared" si="46"/>
        <v>704</v>
      </c>
      <c r="D58" s="55">
        <f t="shared" si="58"/>
        <v>1918.3999999999999</v>
      </c>
      <c r="E58" s="55">
        <f t="shared" si="60"/>
        <v>1848</v>
      </c>
      <c r="F58" s="55">
        <f t="shared" si="60"/>
        <v>1812.8</v>
      </c>
      <c r="G58" s="55">
        <f t="shared" si="60"/>
        <v>1777.6</v>
      </c>
      <c r="H58" s="55">
        <f t="shared" si="60"/>
        <v>1724.8</v>
      </c>
      <c r="I58" s="55">
        <f t="shared" si="60"/>
        <v>1654.3999999999999</v>
      </c>
      <c r="J58" s="51">
        <v>11439.026445645028</v>
      </c>
      <c r="K58" s="55"/>
      <c r="L58" s="98" t="s">
        <v>22</v>
      </c>
      <c r="M58" s="69"/>
      <c r="N58" s="329">
        <f t="shared" si="48"/>
        <v>864.13507292707084</v>
      </c>
      <c r="O58" s="55">
        <f t="shared" si="10"/>
        <v>2467.7395386579551</v>
      </c>
      <c r="P58" s="55">
        <f t="shared" si="11"/>
        <v>3321.1780971735921</v>
      </c>
      <c r="Q58" s="55">
        <f t="shared" si="12"/>
        <v>3281.5772165444259</v>
      </c>
      <c r="R58" s="55">
        <f t="shared" si="13"/>
        <v>3245.6229246117055</v>
      </c>
      <c r="S58" s="55">
        <f t="shared" si="14"/>
        <v>3115.8226015752484</v>
      </c>
      <c r="T58" s="13">
        <f>SUM(Table5[[#This Row],[2026]:[2032]])</f>
        <v>16296.075451489998</v>
      </c>
      <c r="U58" s="52"/>
      <c r="V58" t="s">
        <v>22</v>
      </c>
      <c r="W58" s="96">
        <f t="shared" si="15"/>
        <v>234.66666666666663</v>
      </c>
      <c r="X58" s="13">
        <f t="shared" si="16"/>
        <v>639.46666666666647</v>
      </c>
      <c r="Y58" s="69">
        <f t="shared" si="17"/>
        <v>616</v>
      </c>
      <c r="Z58" s="69">
        <f t="shared" si="18"/>
        <v>604.26666666666665</v>
      </c>
      <c r="AA58" s="69">
        <f t="shared" si="19"/>
        <v>592.5333333333333</v>
      </c>
      <c r="AB58" s="69">
        <f t="shared" si="20"/>
        <v>574.93333333333317</v>
      </c>
      <c r="AC58" s="69">
        <f t="shared" si="21"/>
        <v>551.46666666666647</v>
      </c>
      <c r="AD58" s="51">
        <f t="shared" si="22"/>
        <v>3813.0088152150092</v>
      </c>
      <c r="AE58" s="55"/>
      <c r="AF58" s="93" t="s">
        <v>22</v>
      </c>
      <c r="AG58" s="69">
        <f t="shared" si="49"/>
        <v>938.66666666666663</v>
      </c>
      <c r="AH58" s="13">
        <f t="shared" si="50"/>
        <v>2557.8666666666663</v>
      </c>
      <c r="AI58" s="69">
        <f t="shared" si="23"/>
        <v>2464</v>
      </c>
      <c r="AJ58" s="69">
        <f t="shared" si="24"/>
        <v>2417.0666666666666</v>
      </c>
      <c r="AK58" s="69">
        <f t="shared" si="25"/>
        <v>2370.1333333333332</v>
      </c>
      <c r="AL58" s="69">
        <f t="shared" si="26"/>
        <v>2299.7333333333331</v>
      </c>
      <c r="AM58" s="69">
        <f t="shared" si="27"/>
        <v>2205.8666666666663</v>
      </c>
      <c r="AN58" s="51">
        <f t="shared" si="28"/>
        <v>15252.035260860037</v>
      </c>
      <c r="AO58" s="55">
        <f t="shared" si="29"/>
        <v>0</v>
      </c>
      <c r="AP58" s="98" t="s">
        <v>22</v>
      </c>
      <c r="AQ58" s="69"/>
      <c r="AR58" s="331">
        <f t="shared" si="51"/>
        <v>224.66840626040437</v>
      </c>
      <c r="AS58" s="69">
        <f t="shared" si="30"/>
        <v>1851.7395386579551</v>
      </c>
      <c r="AT58" s="69">
        <f t="shared" si="31"/>
        <v>2716.9114305069252</v>
      </c>
      <c r="AU58" s="69">
        <f t="shared" si="32"/>
        <v>2689.0438832110926</v>
      </c>
      <c r="AV58" s="69">
        <f t="shared" si="33"/>
        <v>2670.6895912783721</v>
      </c>
      <c r="AW58" s="69">
        <f t="shared" si="59"/>
        <v>2564.3559349085817</v>
      </c>
      <c r="AX58" s="13">
        <f t="shared" si="52"/>
        <v>12483.066636274989</v>
      </c>
      <c r="AY58" s="52"/>
      <c r="AZ58" s="93" t="s">
        <v>22</v>
      </c>
      <c r="BA58" s="69">
        <f>Table9[[#This Row],[2026]]</f>
        <v>938.66666666666663</v>
      </c>
      <c r="BB58" s="13">
        <f>Table9[[#This Row],[2027]]+Table11[[#This Row],[2027]]</f>
        <v>2782.5350729270708</v>
      </c>
      <c r="BC58" s="69">
        <f t="shared" si="53"/>
        <v>4315.7395386579556</v>
      </c>
      <c r="BD58" s="69">
        <f t="shared" si="34"/>
        <v>5133.9780971735918</v>
      </c>
      <c r="BE58" s="69">
        <f t="shared" si="35"/>
        <v>5059.1772165444254</v>
      </c>
      <c r="BF58" s="69">
        <f t="shared" si="36"/>
        <v>4970.4229246117056</v>
      </c>
      <c r="BG58" s="69">
        <f t="shared" si="37"/>
        <v>4770.2226015752485</v>
      </c>
      <c r="BH58" s="51">
        <f>SUM(Table13[[#This Row],[2026]:[2032]])</f>
        <v>27970.742118156668</v>
      </c>
      <c r="BI58" s="55">
        <f>SUM(Table13[[#This Row],[2027]:[2032]])</f>
        <v>27032.075451489996</v>
      </c>
      <c r="BJ58" s="75">
        <f t="shared" si="38"/>
        <v>9909.8873892570482</v>
      </c>
      <c r="BK58" s="76">
        <f t="shared" si="39"/>
        <v>9711.6849201212426</v>
      </c>
      <c r="BL58" s="93" t="s">
        <v>22</v>
      </c>
      <c r="BM58" s="69">
        <f t="shared" si="54"/>
        <v>352</v>
      </c>
      <c r="BN58" s="13">
        <f t="shared" si="55"/>
        <v>959.19999999999982</v>
      </c>
      <c r="BO58" s="69">
        <f t="shared" si="40"/>
        <v>924</v>
      </c>
      <c r="BP58" s="69">
        <f t="shared" si="41"/>
        <v>906.4</v>
      </c>
      <c r="BQ58" s="69">
        <f t="shared" si="42"/>
        <v>888.8</v>
      </c>
      <c r="BR58" s="69">
        <f t="shared" si="56"/>
        <v>862.39999999999986</v>
      </c>
      <c r="BS58" s="69">
        <f t="shared" si="43"/>
        <v>827.19999999999982</v>
      </c>
      <c r="BT58" s="51">
        <f t="shared" si="57"/>
        <v>5719.5132228225139</v>
      </c>
      <c r="BU58" s="55">
        <f t="shared" si="44"/>
        <v>0</v>
      </c>
      <c r="BV58" s="93" t="s">
        <v>22</v>
      </c>
      <c r="BW58" s="29">
        <f>IF($AE$13=2027,IF($AE$18&gt;0,$AE$18*(SUM($AJ$7:$AO$7)-$G$65/60-$H$65/60-$I$65/60)*$AG$18*$AA25*0.87-Table7[[#This Row],[2026]],0),IF($AE$18&gt;0,IF(($AE$18*(SUM($AJ$7:$AO$7)-$G$65/60-$H$65/60-$I$65/60)*$AG$18*$AA25*0.87/2-Table7[[#This Row],[2026]])&gt;0,$AE$18*(SUM($AJ$7:$AO$7)-$G$65/60-$H$65/60-$I$65/60)*$AG$18*$AA25*0.87/2-Table7[[#This Row],[2026]],0),0))</f>
        <v>1211.8282189782794</v>
      </c>
      <c r="BX58" s="13">
        <f>IF($AE$13=2027,0,IF($AE$18&gt;0,$AE$18*(SUM($AJ$7:$AO$7)-$G$65/60-$H$65/60-$I$65/60)*$AG$18*$AA25*0.87/2-IF(Table5[[#This Row],[2027]]-Table7[[#This Row],[2027]]&gt;0,Table5[[#This Row],[2027]]-Table7[[#This Row],[2027]],0),0))</f>
        <v>1221.8264793845419</v>
      </c>
      <c r="BY58" s="69"/>
      <c r="BZ58" s="69"/>
      <c r="CA58" s="69">
        <f>-Dashboard!$E$16*(SUM($AJ$7:$AO$7)-$G$65/60-$H$65/60-$I$65/60)*Dashboard!$H$16/6*$AA25</f>
        <v>-554.2125998639641</v>
      </c>
      <c r="CB58" s="69">
        <f>-Dashboard!$E$16*(SUM($AJ$7:$AO$7)-$G$65/60-$H$65/60-$I$65/60)*Dashboard!$H$16/6*$AA25</f>
        <v>-554.2125998639641</v>
      </c>
      <c r="CC58" s="69">
        <f>-Dashboard!$E$16*(SUM($AJ$7:$AO$7)-$G$65/60-$H$65/60-$I$65/60)*Dashboard!$H$16/6*$AA25</f>
        <v>-554.2125998639641</v>
      </c>
      <c r="CD58" s="51">
        <f>SUM(Table154[[#This Row],[2026]:[2032]])</f>
        <v>771.01689877092929</v>
      </c>
      <c r="CE58" s="55"/>
      <c r="CF58" s="93" t="s">
        <v>22</v>
      </c>
      <c r="CG58" s="29">
        <f t="shared" si="45"/>
        <v>2150.494885644946</v>
      </c>
      <c r="CH58" s="13">
        <f>Table9[[#This Row],[2027]]+Table11[[#This Row],[2027]]+Table154[[#This Row],[2027]]</f>
        <v>4004.3615523116127</v>
      </c>
      <c r="CI58" s="69">
        <f>Table9[[#This Row],[2028]]+Table11[[#This Row],[2028]]+Table154[[#This Row],[2028]]</f>
        <v>4315.7395386579556</v>
      </c>
      <c r="CJ58" s="69">
        <f>Table9[[#This Row],[2029]]+Table11[[#This Row],[2029]]+Table154[[#This Row],[2029]]</f>
        <v>5133.9780971735918</v>
      </c>
      <c r="CK58" s="69">
        <f>Table9[[#This Row],[2030]]+Table11[[#This Row],[2030]]+Table154[[#This Row],[2030]]</f>
        <v>4504.9646166804614</v>
      </c>
      <c r="CL58" s="69">
        <f>Table9[[#This Row],[2031]]+Table11[[#This Row],[2031]]+Table154[[#This Row],[2031]]</f>
        <v>4416.2103247477407</v>
      </c>
      <c r="CM58" s="69">
        <f>Table9[[#This Row],[2032]]+Table11[[#This Row],[2032]]+Table154[[#This Row],[2032]]</f>
        <v>4216.0100017112836</v>
      </c>
      <c r="CN58" s="51"/>
      <c r="CO58" s="55"/>
    </row>
    <row r="59" spans="2:93" x14ac:dyDescent="0.35">
      <c r="B59" s="7" t="s">
        <v>23</v>
      </c>
      <c r="C59" s="74">
        <f t="shared" si="46"/>
        <v>75.2</v>
      </c>
      <c r="D59" s="55">
        <f t="shared" si="58"/>
        <v>204.92000000000002</v>
      </c>
      <c r="E59" s="55">
        <f t="shared" ref="E59:I64" si="61">F26</f>
        <v>197.4</v>
      </c>
      <c r="F59" s="55">
        <f t="shared" si="61"/>
        <v>193.64000000000001</v>
      </c>
      <c r="G59" s="55">
        <f t="shared" si="61"/>
        <v>189.88</v>
      </c>
      <c r="H59" s="55">
        <f t="shared" si="61"/>
        <v>184.24</v>
      </c>
      <c r="I59" s="55">
        <f t="shared" si="61"/>
        <v>176.72</v>
      </c>
      <c r="J59" s="51">
        <v>1223.1540173381704</v>
      </c>
      <c r="K59" s="55"/>
      <c r="L59" s="98" t="s">
        <v>23</v>
      </c>
      <c r="M59" s="69"/>
      <c r="N59" s="329">
        <f t="shared" si="48"/>
        <v>168.4111318850172</v>
      </c>
      <c r="O59" s="55">
        <f t="shared" si="10"/>
        <v>480.93732325324879</v>
      </c>
      <c r="P59" s="55">
        <f t="shared" si="11"/>
        <v>647.2638133320354</v>
      </c>
      <c r="Q59" s="55">
        <f t="shared" si="12"/>
        <v>639.5460046938432</v>
      </c>
      <c r="R59" s="55">
        <f t="shared" si="13"/>
        <v>632.53887908325612</v>
      </c>
      <c r="S59" s="55">
        <f t="shared" si="14"/>
        <v>607.24211703011417</v>
      </c>
      <c r="T59" s="13">
        <f>SUM(Table5[[#This Row],[2026]:[2032]])</f>
        <v>3175.939269277515</v>
      </c>
      <c r="U59" s="52"/>
      <c r="V59" t="s">
        <v>23</v>
      </c>
      <c r="W59" s="96">
        <f t="shared" si="15"/>
        <v>25.066666666666663</v>
      </c>
      <c r="X59" s="13">
        <f t="shared" si="16"/>
        <v>68.306666666666672</v>
      </c>
      <c r="Y59" s="69">
        <f t="shared" si="17"/>
        <v>65.799999999999983</v>
      </c>
      <c r="Z59" s="69">
        <f t="shared" si="18"/>
        <v>64.546666666666653</v>
      </c>
      <c r="AA59" s="69">
        <f t="shared" si="19"/>
        <v>63.293333333333322</v>
      </c>
      <c r="AB59" s="69">
        <f t="shared" si="20"/>
        <v>61.413333333333327</v>
      </c>
      <c r="AC59" s="69">
        <f t="shared" si="21"/>
        <v>58.906666666666666</v>
      </c>
      <c r="AD59" s="51">
        <f t="shared" si="22"/>
        <v>407.71800577939007</v>
      </c>
      <c r="AE59" s="55"/>
      <c r="AF59" s="93" t="s">
        <v>23</v>
      </c>
      <c r="AG59" s="69">
        <f t="shared" si="49"/>
        <v>100.26666666666667</v>
      </c>
      <c r="AH59" s="13">
        <f t="shared" si="50"/>
        <v>273.22666666666669</v>
      </c>
      <c r="AI59" s="69">
        <f t="shared" si="23"/>
        <v>263.2</v>
      </c>
      <c r="AJ59" s="69">
        <f t="shared" si="24"/>
        <v>258.18666666666667</v>
      </c>
      <c r="AK59" s="69">
        <f t="shared" si="25"/>
        <v>253.17333333333332</v>
      </c>
      <c r="AL59" s="69">
        <f t="shared" si="26"/>
        <v>245.65333333333334</v>
      </c>
      <c r="AM59" s="69">
        <f t="shared" si="27"/>
        <v>235.62666666666667</v>
      </c>
      <c r="AN59" s="51">
        <f t="shared" si="28"/>
        <v>1630.8720231175605</v>
      </c>
      <c r="AO59" s="55">
        <f t="shared" si="29"/>
        <v>0</v>
      </c>
      <c r="AP59" s="98" t="s">
        <v>23</v>
      </c>
      <c r="AQ59" s="69"/>
      <c r="AR59" s="331">
        <f t="shared" si="51"/>
        <v>100.10446521835053</v>
      </c>
      <c r="AS59" s="69">
        <f t="shared" si="30"/>
        <v>415.13732325324884</v>
      </c>
      <c r="AT59" s="69">
        <f t="shared" si="31"/>
        <v>582.71714666536877</v>
      </c>
      <c r="AU59" s="69">
        <f t="shared" si="32"/>
        <v>576.25267136050991</v>
      </c>
      <c r="AV59" s="69">
        <f t="shared" si="33"/>
        <v>571.12554574992282</v>
      </c>
      <c r="AW59" s="69">
        <f t="shared" si="59"/>
        <v>548.33545036344753</v>
      </c>
      <c r="AX59" s="13">
        <f t="shared" si="52"/>
        <v>2768.2212634981252</v>
      </c>
      <c r="AY59" s="52"/>
      <c r="AZ59" s="93" t="s">
        <v>23</v>
      </c>
      <c r="BA59" s="69">
        <f>Table9[[#This Row],[2026]]</f>
        <v>100.26666666666667</v>
      </c>
      <c r="BB59" s="13">
        <f>Table9[[#This Row],[2027]]+Table11[[#This Row],[2027]]</f>
        <v>373.33113188501721</v>
      </c>
      <c r="BC59" s="69">
        <f t="shared" si="53"/>
        <v>678.33732325324877</v>
      </c>
      <c r="BD59" s="69">
        <f t="shared" si="34"/>
        <v>840.90381333203538</v>
      </c>
      <c r="BE59" s="69">
        <f t="shared" si="35"/>
        <v>829.4260046938432</v>
      </c>
      <c r="BF59" s="69">
        <f t="shared" si="36"/>
        <v>816.77887908325613</v>
      </c>
      <c r="BG59" s="69">
        <f t="shared" si="37"/>
        <v>783.9621170301142</v>
      </c>
      <c r="BH59" s="51">
        <f>SUM(Table13[[#This Row],[2026]:[2032]])</f>
        <v>4423.0059359441811</v>
      </c>
      <c r="BI59" s="55">
        <f>SUM(Table13[[#This Row],[2027]:[2032]])</f>
        <v>4322.7392692775147</v>
      </c>
      <c r="BJ59" s="75">
        <f t="shared" si="38"/>
        <v>9909.8873892570482</v>
      </c>
      <c r="BK59" s="76">
        <f t="shared" si="39"/>
        <v>9711.6849201212426</v>
      </c>
      <c r="BL59" s="93" t="s">
        <v>23</v>
      </c>
      <c r="BM59" s="69">
        <f t="shared" si="54"/>
        <v>37.6</v>
      </c>
      <c r="BN59" s="13">
        <f t="shared" si="55"/>
        <v>102.46000000000001</v>
      </c>
      <c r="BO59" s="69">
        <f t="shared" si="40"/>
        <v>98.699999999999989</v>
      </c>
      <c r="BP59" s="69">
        <f t="shared" si="41"/>
        <v>96.82</v>
      </c>
      <c r="BQ59" s="69">
        <f t="shared" si="42"/>
        <v>94.94</v>
      </c>
      <c r="BR59" s="69">
        <f t="shared" si="56"/>
        <v>92.12</v>
      </c>
      <c r="BS59" s="69">
        <f t="shared" si="43"/>
        <v>88.36</v>
      </c>
      <c r="BT59" s="51">
        <f t="shared" si="57"/>
        <v>611.57700866908522</v>
      </c>
      <c r="BU59" s="55">
        <f t="shared" si="44"/>
        <v>0</v>
      </c>
      <c r="BV59" s="93" t="s">
        <v>23</v>
      </c>
      <c r="BW59" s="29">
        <f>IF($AE$13=2027,IF($AE$18&gt;0,$AE$18*(SUM($AJ$7:$AO$7)-$G$65/60-$H$65/60-$I$65/60)*$AG$18*$AA26*0.87-Table7[[#This Row],[2026]],0),IF($AE$18&gt;0,IF(($AE$18*(SUM($AJ$7:$AO$7)-$G$65/60-$H$65/60-$I$65/60)*$AG$18*$AA26*0.87/2-Table7[[#This Row],[2026]])&gt;0,$AE$18*(SUM($AJ$7:$AO$7)-$G$65/60-$H$65/60-$I$65/60)*$AG$18*$AA26*0.87/2-Table7[[#This Row],[2026]],0),0))</f>
        <v>256.84046636080296</v>
      </c>
      <c r="BX59" s="13">
        <f>IF($AE$13=2027,0,IF($AE$18&gt;0,$AE$18*(SUM($AJ$7:$AO$7)-$G$65/60-$H$65/60-$I$65/60)*$AG$18*$AA26*0.87/2-IF(Table5[[#This Row],[2027]]-Table7[[#This Row],[2027]]&gt;0,Table5[[#This Row],[2027]]-Table7[[#This Row],[2027]],0),0))</f>
        <v>181.8026678091191</v>
      </c>
      <c r="BY59" s="69"/>
      <c r="BZ59" s="69"/>
      <c r="CA59" s="69">
        <f>-Dashboard!$E$16*(SUM($AJ$7:$AO$7)-$G$65/60-$H$65/60-$I$65/60)*Dashboard!$H$16/6*$AA26</f>
        <v>-108.01039579596538</v>
      </c>
      <c r="CB59" s="69">
        <f>-Dashboard!$E$16*(SUM($AJ$7:$AO$7)-$G$65/60-$H$65/60-$I$65/60)*Dashboard!$H$16/6*$AA26</f>
        <v>-108.01039579596538</v>
      </c>
      <c r="CC59" s="69">
        <f>-Dashboard!$E$16*(SUM($AJ$7:$AO$7)-$G$65/60-$H$65/60-$I$65/60)*Dashboard!$H$16/6*$AA26</f>
        <v>-108.01039579596538</v>
      </c>
      <c r="CD59" s="51">
        <f>SUM(Table154[[#This Row],[2026]:[2032]])</f>
        <v>114.6119467820259</v>
      </c>
      <c r="CE59" s="55"/>
      <c r="CF59" s="93" t="s">
        <v>23</v>
      </c>
      <c r="CG59" s="29">
        <f t="shared" si="45"/>
        <v>357.10713302746962</v>
      </c>
      <c r="CH59" s="13">
        <f>Table9[[#This Row],[2027]]+Table11[[#This Row],[2027]]+Table154[[#This Row],[2027]]</f>
        <v>555.13379969413631</v>
      </c>
      <c r="CI59" s="69">
        <f>Table9[[#This Row],[2028]]+Table11[[#This Row],[2028]]+Table154[[#This Row],[2028]]</f>
        <v>678.33732325324877</v>
      </c>
      <c r="CJ59" s="69">
        <f>Table9[[#This Row],[2029]]+Table11[[#This Row],[2029]]+Table154[[#This Row],[2029]]</f>
        <v>840.9038133320355</v>
      </c>
      <c r="CK59" s="69">
        <f>Table9[[#This Row],[2030]]+Table11[[#This Row],[2030]]+Table154[[#This Row],[2030]]</f>
        <v>721.41560889787786</v>
      </c>
      <c r="CL59" s="69">
        <f>Table9[[#This Row],[2031]]+Table11[[#This Row],[2031]]+Table154[[#This Row],[2031]]</f>
        <v>708.76848328729079</v>
      </c>
      <c r="CM59" s="69">
        <f>Table9[[#This Row],[2032]]+Table11[[#This Row],[2032]]+Table154[[#This Row],[2032]]</f>
        <v>675.95172123414886</v>
      </c>
      <c r="CN59" s="51"/>
      <c r="CO59" s="55"/>
    </row>
    <row r="60" spans="2:93" x14ac:dyDescent="0.35">
      <c r="B60" s="7" t="s">
        <v>24</v>
      </c>
      <c r="C60" s="74">
        <f t="shared" si="46"/>
        <v>370</v>
      </c>
      <c r="D60" s="55">
        <f t="shared" si="58"/>
        <v>1008.25</v>
      </c>
      <c r="E60" s="55">
        <f t="shared" si="61"/>
        <v>971.25</v>
      </c>
      <c r="F60" s="55">
        <f t="shared" si="61"/>
        <v>952.75</v>
      </c>
      <c r="G60" s="55">
        <f t="shared" si="61"/>
        <v>934.25</v>
      </c>
      <c r="H60" s="55">
        <f t="shared" si="61"/>
        <v>906.5</v>
      </c>
      <c r="I60" s="55">
        <f t="shared" si="61"/>
        <v>869.5</v>
      </c>
      <c r="J60" s="51">
        <v>6012.6772892979297</v>
      </c>
      <c r="K60" s="55"/>
      <c r="L60" s="98" t="s">
        <v>24</v>
      </c>
      <c r="M60" s="69"/>
      <c r="N60" s="329">
        <f t="shared" si="48"/>
        <v>266.22528883207832</v>
      </c>
      <c r="O60" s="55">
        <f t="shared" si="10"/>
        <v>760.26849508167049</v>
      </c>
      <c r="P60" s="55">
        <f t="shared" si="11"/>
        <v>1023.1983701203537</v>
      </c>
      <c r="Q60" s="55">
        <f t="shared" si="12"/>
        <v>1010.9980137017753</v>
      </c>
      <c r="R60" s="55">
        <f t="shared" si="13"/>
        <v>999.92110911309976</v>
      </c>
      <c r="S60" s="55">
        <f t="shared" si="14"/>
        <v>959.93184172481233</v>
      </c>
      <c r="T60" s="13">
        <f>SUM(Table5[[#This Row],[2026]:[2032]])</f>
        <v>5020.5431185737907</v>
      </c>
      <c r="U60" s="52"/>
      <c r="V60" t="s">
        <v>24</v>
      </c>
      <c r="W60" s="96">
        <f t="shared" si="15"/>
        <v>123.33333333333331</v>
      </c>
      <c r="X60" s="13">
        <f t="shared" si="16"/>
        <v>336.08333333333326</v>
      </c>
      <c r="Y60" s="69">
        <f t="shared" si="17"/>
        <v>323.75</v>
      </c>
      <c r="Z60" s="69">
        <f t="shared" si="18"/>
        <v>317.58333333333326</v>
      </c>
      <c r="AA60" s="69">
        <f t="shared" si="19"/>
        <v>311.41666666666674</v>
      </c>
      <c r="AB60" s="69">
        <f t="shared" si="20"/>
        <v>302.16666666666674</v>
      </c>
      <c r="AC60" s="69">
        <f t="shared" si="21"/>
        <v>289.83333333333326</v>
      </c>
      <c r="AD60" s="51">
        <f t="shared" si="22"/>
        <v>2004.2257630993099</v>
      </c>
      <c r="AE60" s="55"/>
      <c r="AF60" s="93" t="s">
        <v>24</v>
      </c>
      <c r="AG60" s="69">
        <f t="shared" si="49"/>
        <v>493.33333333333331</v>
      </c>
      <c r="AH60" s="13">
        <f t="shared" si="50"/>
        <v>1344.3333333333333</v>
      </c>
      <c r="AI60" s="69">
        <f t="shared" si="23"/>
        <v>1295</v>
      </c>
      <c r="AJ60" s="69">
        <f t="shared" si="24"/>
        <v>1270.3333333333333</v>
      </c>
      <c r="AK60" s="69">
        <f t="shared" si="25"/>
        <v>1245.6666666666667</v>
      </c>
      <c r="AL60" s="69">
        <f t="shared" si="26"/>
        <v>1208.6666666666667</v>
      </c>
      <c r="AM60" s="69">
        <f t="shared" si="27"/>
        <v>1159.3333333333333</v>
      </c>
      <c r="AN60" s="51">
        <f t="shared" si="28"/>
        <v>8016.9030523972397</v>
      </c>
      <c r="AO60" s="55">
        <f t="shared" si="29"/>
        <v>0</v>
      </c>
      <c r="AP60" s="98" t="s">
        <v>24</v>
      </c>
      <c r="AQ60" s="69"/>
      <c r="AR60" s="331">
        <f t="shared" si="51"/>
        <v>0</v>
      </c>
      <c r="AS60" s="69">
        <f t="shared" si="30"/>
        <v>436.51849508167049</v>
      </c>
      <c r="AT60" s="69">
        <f t="shared" si="31"/>
        <v>705.61503678702047</v>
      </c>
      <c r="AU60" s="69">
        <f t="shared" si="32"/>
        <v>699.58134703510859</v>
      </c>
      <c r="AV60" s="69">
        <f t="shared" si="33"/>
        <v>697.75444244643302</v>
      </c>
      <c r="AW60" s="69">
        <f t="shared" si="59"/>
        <v>670.09850839147907</v>
      </c>
      <c r="AX60" s="13">
        <f t="shared" si="52"/>
        <v>3016.3173554744808</v>
      </c>
      <c r="AY60" s="52"/>
      <c r="AZ60" s="93" t="s">
        <v>24</v>
      </c>
      <c r="BA60" s="69">
        <f>Table9[[#This Row],[2026]]</f>
        <v>493.33333333333331</v>
      </c>
      <c r="BB60" s="13">
        <f>Table9[[#This Row],[2027]]+Table11[[#This Row],[2027]]</f>
        <v>1344.3333333333333</v>
      </c>
      <c r="BC60" s="69">
        <f t="shared" si="53"/>
        <v>1731.5184950816706</v>
      </c>
      <c r="BD60" s="69">
        <f t="shared" si="34"/>
        <v>1975.9483701203537</v>
      </c>
      <c r="BE60" s="69">
        <f t="shared" si="35"/>
        <v>1945.2480137017753</v>
      </c>
      <c r="BF60" s="69">
        <f t="shared" si="36"/>
        <v>1906.4211091130996</v>
      </c>
      <c r="BG60" s="69">
        <f t="shared" si="37"/>
        <v>1829.4318417248123</v>
      </c>
      <c r="BH60" s="51">
        <f>SUM(Table13[[#This Row],[2026]:[2032]])</f>
        <v>11226.234496408379</v>
      </c>
      <c r="BI60" s="55">
        <f>SUM(Table13[[#This Row],[2027]:[2032]])</f>
        <v>10732.901163075045</v>
      </c>
      <c r="BJ60" s="75">
        <f t="shared" si="38"/>
        <v>9909.8873892570482</v>
      </c>
      <c r="BK60" s="76">
        <f t="shared" si="39"/>
        <v>9711.6849201212426</v>
      </c>
      <c r="BL60" s="93" t="s">
        <v>24</v>
      </c>
      <c r="BM60" s="69">
        <f t="shared" si="54"/>
        <v>185</v>
      </c>
      <c r="BN60" s="13">
        <f t="shared" si="55"/>
        <v>504.125</v>
      </c>
      <c r="BO60" s="69">
        <f t="shared" si="40"/>
        <v>485.625</v>
      </c>
      <c r="BP60" s="69">
        <f t="shared" si="41"/>
        <v>476.375</v>
      </c>
      <c r="BQ60" s="69">
        <f t="shared" si="42"/>
        <v>467.125</v>
      </c>
      <c r="BR60" s="69">
        <f t="shared" si="56"/>
        <v>453.25</v>
      </c>
      <c r="BS60" s="69">
        <f t="shared" si="43"/>
        <v>434.75</v>
      </c>
      <c r="BT60" s="51">
        <f t="shared" si="57"/>
        <v>3006.3386446489649</v>
      </c>
      <c r="BU60" s="55">
        <f t="shared" si="44"/>
        <v>0</v>
      </c>
      <c r="BV60" s="93" t="s">
        <v>24</v>
      </c>
      <c r="BW60" s="29">
        <f>IF($AE$13=2027,IF($AE$18&gt;0,$AE$18*(SUM($AJ$7:$AO$7)-$G$65/60-$H$65/60-$I$65/60)*$AG$18*$AA27*0.87-Table7[[#This Row],[2026]],0),IF($AE$18&gt;0,IF(($AE$18*(SUM($AJ$7:$AO$7)-$G$65/60-$H$65/60-$I$65/60)*$AG$18*$AA27*0.87/2-Table7[[#This Row],[2026]])&gt;0,$AE$18*(SUM($AJ$7:$AO$7)-$G$65/60-$H$65/60-$I$65/60)*$AG$18*$AA27*0.87/2-Table7[[#This Row],[2026]],0),0))</f>
        <v>322.30708885266688</v>
      </c>
      <c r="BX60" s="13">
        <f>IF($AE$13=2027,0,IF($AE$18&gt;0,$AE$18*(SUM($AJ$7:$AO$7)-$G$65/60-$H$65/60-$I$65/60)*$AG$18*$AA27*0.87/2-IF(Table5[[#This Row],[2027]]-Table7[[#This Row],[2027]]&gt;0,Table5[[#This Row],[2027]]-Table7[[#This Row],[2027]],0),0))</f>
        <v>445.64042218600019</v>
      </c>
      <c r="BY60" s="69"/>
      <c r="BZ60" s="69"/>
      <c r="CA60" s="69">
        <f>-Dashboard!$E$16*(SUM($AJ$7:$AO$7)-$G$65/60-$H$65/60-$I$65/60)*Dashboard!$H$16/6*$AA27</f>
        <v>-170.7434567762453</v>
      </c>
      <c r="CB60" s="69">
        <f>-Dashboard!$E$16*(SUM($AJ$7:$AO$7)-$G$65/60-$H$65/60-$I$65/60)*Dashboard!$H$16/6*$AA27</f>
        <v>-170.7434567762453</v>
      </c>
      <c r="CC60" s="69">
        <f>-Dashboard!$E$16*(SUM($AJ$7:$AO$7)-$G$65/60-$H$65/60-$I$65/60)*Dashboard!$H$16/6*$AA27</f>
        <v>-170.7434567762453</v>
      </c>
      <c r="CD60" s="51">
        <f>SUM(Table154[[#This Row],[2026]:[2032]])</f>
        <v>255.71714070993119</v>
      </c>
      <c r="CE60" s="55"/>
      <c r="CF60" s="93" t="s">
        <v>24</v>
      </c>
      <c r="CG60" s="29">
        <f t="shared" si="45"/>
        <v>815.64042218600025</v>
      </c>
      <c r="CH60" s="13">
        <f>Table9[[#This Row],[2027]]+Table11[[#This Row],[2027]]+Table154[[#This Row],[2027]]</f>
        <v>1789.9737555193335</v>
      </c>
      <c r="CI60" s="69">
        <f>Table9[[#This Row],[2028]]+Table11[[#This Row],[2028]]+Table154[[#This Row],[2028]]</f>
        <v>1731.5184950816706</v>
      </c>
      <c r="CJ60" s="69">
        <f>Table9[[#This Row],[2029]]+Table11[[#This Row],[2029]]+Table154[[#This Row],[2029]]</f>
        <v>1975.9483701203537</v>
      </c>
      <c r="CK60" s="69">
        <f>Table9[[#This Row],[2030]]+Table11[[#This Row],[2030]]+Table154[[#This Row],[2030]]</f>
        <v>1774.5045569255301</v>
      </c>
      <c r="CL60" s="69">
        <f>Table9[[#This Row],[2031]]+Table11[[#This Row],[2031]]+Table154[[#This Row],[2031]]</f>
        <v>1735.6776523368544</v>
      </c>
      <c r="CM60" s="69">
        <f>Table9[[#This Row],[2032]]+Table11[[#This Row],[2032]]+Table154[[#This Row],[2032]]</f>
        <v>1658.6883849485671</v>
      </c>
      <c r="CN60" s="51"/>
      <c r="CO60" s="55"/>
    </row>
    <row r="61" spans="2:93" x14ac:dyDescent="0.35">
      <c r="B61" s="7" t="s">
        <v>25</v>
      </c>
      <c r="C61" s="74">
        <f t="shared" si="46"/>
        <v>94</v>
      </c>
      <c r="D61" s="55">
        <f t="shared" si="58"/>
        <v>256.14999999999998</v>
      </c>
      <c r="E61" s="55">
        <f t="shared" si="61"/>
        <v>246.75</v>
      </c>
      <c r="F61" s="55">
        <f t="shared" si="61"/>
        <v>242.05</v>
      </c>
      <c r="G61" s="55">
        <f t="shared" si="61"/>
        <v>237.35</v>
      </c>
      <c r="H61" s="55">
        <f t="shared" si="61"/>
        <v>230.3</v>
      </c>
      <c r="I61" s="55">
        <f t="shared" si="61"/>
        <v>220.9</v>
      </c>
      <c r="J61" s="51">
        <v>1530.5530743711365</v>
      </c>
      <c r="K61" s="55"/>
      <c r="L61" s="98" t="s">
        <v>25</v>
      </c>
      <c r="M61" s="69"/>
      <c r="N61" s="329">
        <f t="shared" si="48"/>
        <v>106.04976368637277</v>
      </c>
      <c r="O61" s="55">
        <f t="shared" si="10"/>
        <v>302.84987048116409</v>
      </c>
      <c r="P61" s="55">
        <f t="shared" si="11"/>
        <v>407.58691945297494</v>
      </c>
      <c r="Q61" s="55">
        <f t="shared" si="12"/>
        <v>402.72695697249151</v>
      </c>
      <c r="R61" s="55">
        <f t="shared" si="13"/>
        <v>398.31451697042064</v>
      </c>
      <c r="S61" s="55">
        <f t="shared" si="14"/>
        <v>382.38495454934662</v>
      </c>
      <c r="T61" s="13">
        <f>SUM(Table5[[#This Row],[2026]:[2032]])</f>
        <v>1999.9129821127708</v>
      </c>
      <c r="U61" s="52"/>
      <c r="V61" t="s">
        <v>25</v>
      </c>
      <c r="W61" s="96">
        <f t="shared" si="15"/>
        <v>31.333333333333329</v>
      </c>
      <c r="X61" s="13">
        <f t="shared" si="16"/>
        <v>85.383333333333326</v>
      </c>
      <c r="Y61" s="69">
        <f t="shared" si="17"/>
        <v>82.25</v>
      </c>
      <c r="Z61" s="69">
        <f t="shared" si="18"/>
        <v>80.683333333333337</v>
      </c>
      <c r="AA61" s="69">
        <f t="shared" si="19"/>
        <v>79.116666666666646</v>
      </c>
      <c r="AB61" s="69">
        <f t="shared" si="20"/>
        <v>76.766666666666652</v>
      </c>
      <c r="AC61" s="69">
        <f t="shared" si="21"/>
        <v>73.633333333333354</v>
      </c>
      <c r="AD61" s="51">
        <f t="shared" si="22"/>
        <v>510.18435812371217</v>
      </c>
      <c r="AE61" s="55"/>
      <c r="AF61" s="93" t="s">
        <v>25</v>
      </c>
      <c r="AG61" s="69">
        <f t="shared" si="49"/>
        <v>125.33333333333333</v>
      </c>
      <c r="AH61" s="13">
        <f t="shared" si="50"/>
        <v>341.5333333333333</v>
      </c>
      <c r="AI61" s="69">
        <f t="shared" si="23"/>
        <v>329</v>
      </c>
      <c r="AJ61" s="69">
        <f t="shared" si="24"/>
        <v>322.73333333333335</v>
      </c>
      <c r="AK61" s="69">
        <f t="shared" si="25"/>
        <v>316.46666666666664</v>
      </c>
      <c r="AL61" s="69">
        <f t="shared" si="26"/>
        <v>307.06666666666666</v>
      </c>
      <c r="AM61" s="69">
        <f t="shared" si="27"/>
        <v>294.53333333333336</v>
      </c>
      <c r="AN61" s="51">
        <f t="shared" si="28"/>
        <v>2040.7374324948487</v>
      </c>
      <c r="AO61" s="55">
        <f t="shared" si="29"/>
        <v>0</v>
      </c>
      <c r="AP61" s="98" t="s">
        <v>25</v>
      </c>
      <c r="AQ61" s="69"/>
      <c r="AR61" s="331">
        <f t="shared" si="51"/>
        <v>20.666430353039445</v>
      </c>
      <c r="AS61" s="69">
        <f t="shared" si="30"/>
        <v>220.59987048116409</v>
      </c>
      <c r="AT61" s="69">
        <f t="shared" si="31"/>
        <v>326.9035861196416</v>
      </c>
      <c r="AU61" s="69">
        <f t="shared" si="32"/>
        <v>323.61029030582483</v>
      </c>
      <c r="AV61" s="69">
        <f t="shared" si="33"/>
        <v>321.54785030375399</v>
      </c>
      <c r="AW61" s="69">
        <f t="shared" si="59"/>
        <v>308.75162121601329</v>
      </c>
      <c r="AX61" s="13">
        <f t="shared" si="52"/>
        <v>1489.7286239890586</v>
      </c>
      <c r="AY61" s="52"/>
      <c r="AZ61" s="93" t="s">
        <v>25</v>
      </c>
      <c r="BA61" s="69">
        <f>Table9[[#This Row],[2026]]</f>
        <v>125.33333333333333</v>
      </c>
      <c r="BB61" s="13">
        <f>Table9[[#This Row],[2027]]+Table11[[#This Row],[2027]]</f>
        <v>362.19976368637276</v>
      </c>
      <c r="BC61" s="69">
        <f t="shared" si="53"/>
        <v>549.59987048116409</v>
      </c>
      <c r="BD61" s="69">
        <f t="shared" si="34"/>
        <v>649.63691945297501</v>
      </c>
      <c r="BE61" s="69">
        <f t="shared" si="35"/>
        <v>640.07695697249153</v>
      </c>
      <c r="BF61" s="69">
        <f t="shared" si="36"/>
        <v>628.61451697042071</v>
      </c>
      <c r="BG61" s="69">
        <f t="shared" si="37"/>
        <v>603.28495454934659</v>
      </c>
      <c r="BH61" s="51">
        <f>SUM(Table13[[#This Row],[2026]:[2032]])</f>
        <v>3558.7463154461038</v>
      </c>
      <c r="BI61" s="55">
        <f>SUM(Table13[[#This Row],[2027]:[2032]])</f>
        <v>3433.4129821127708</v>
      </c>
      <c r="BJ61" s="75">
        <f t="shared" si="38"/>
        <v>9909.8873892570482</v>
      </c>
      <c r="BK61" s="76">
        <f t="shared" si="39"/>
        <v>9711.6849201212426</v>
      </c>
      <c r="BL61" s="93" t="s">
        <v>25</v>
      </c>
      <c r="BM61" s="69">
        <f t="shared" si="54"/>
        <v>47</v>
      </c>
      <c r="BN61" s="13">
        <f t="shared" si="55"/>
        <v>128.07499999999999</v>
      </c>
      <c r="BO61" s="69">
        <f t="shared" si="40"/>
        <v>123.375</v>
      </c>
      <c r="BP61" s="69">
        <f t="shared" si="41"/>
        <v>121.02500000000001</v>
      </c>
      <c r="BQ61" s="69">
        <f t="shared" si="42"/>
        <v>118.67499999999998</v>
      </c>
      <c r="BR61" s="69">
        <f t="shared" si="56"/>
        <v>115.15</v>
      </c>
      <c r="BS61" s="69">
        <f t="shared" si="43"/>
        <v>110.45000000000002</v>
      </c>
      <c r="BT61" s="51">
        <f t="shared" si="57"/>
        <v>765.27653718556826</v>
      </c>
      <c r="BU61" s="55">
        <f t="shared" si="44"/>
        <v>0</v>
      </c>
      <c r="BV61" s="93" t="s">
        <v>25</v>
      </c>
      <c r="BW61" s="29">
        <f>IF($AE$13=2027,IF($AE$18&gt;0,$AE$18*(SUM($AJ$7:$AO$7)-$G$65/60-$H$65/60-$I$65/60)*$AG$18*$AA28*0.87-Table7[[#This Row],[2026]],0),IF($AE$18&gt;0,IF(($AE$18*(SUM($AJ$7:$AO$7)-$G$65/60-$H$65/60-$I$65/60)*$AG$18*$AA28*0.87/2-Table7[[#This Row],[2026]])&gt;0,$AE$18*(SUM($AJ$7:$AO$7)-$G$65/60-$H$65/60-$I$65/60)*$AG$18*$AA28*0.87/2-Table7[[#This Row],[2026]],0),0))</f>
        <v>146.18572080780058</v>
      </c>
      <c r="BX61" s="13">
        <f>IF($AE$13=2027,0,IF($AE$18&gt;0,$AE$18*(SUM($AJ$7:$AO$7)-$G$65/60-$H$65/60-$I$65/60)*$AG$18*$AA28*0.87/2-IF(Table5[[#This Row],[2027]]-Table7[[#This Row],[2027]]&gt;0,Table5[[#This Row],[2027]]-Table7[[#This Row],[2027]],0),0))</f>
        <v>156.85262378809443</v>
      </c>
      <c r="BY61" s="69"/>
      <c r="BZ61" s="69"/>
      <c r="CA61" s="69">
        <f>-Dashboard!$E$16*(SUM($AJ$7:$AO$7)-$G$65/60-$H$65/60-$I$65/60)*Dashboard!$H$16/6*$AA28</f>
        <v>-68.014963272465081</v>
      </c>
      <c r="CB61" s="69">
        <f>-Dashboard!$E$16*(SUM($AJ$7:$AO$7)-$G$65/60-$H$65/60-$I$65/60)*Dashboard!$H$16/6*$AA28</f>
        <v>-68.014963272465081</v>
      </c>
      <c r="CC61" s="69">
        <f>-Dashboard!$E$16*(SUM($AJ$7:$AO$7)-$G$65/60-$H$65/60-$I$65/60)*Dashboard!$H$16/6*$AA28</f>
        <v>-68.014963272465081</v>
      </c>
      <c r="CD61" s="51">
        <f>SUM(Table154[[#This Row],[2026]:[2032]])</f>
        <v>98.993454778499768</v>
      </c>
      <c r="CE61" s="55"/>
      <c r="CF61" s="93" t="s">
        <v>25</v>
      </c>
      <c r="CG61" s="29">
        <f t="shared" si="45"/>
        <v>271.51905414113389</v>
      </c>
      <c r="CH61" s="13">
        <f>Table9[[#This Row],[2027]]+Table11[[#This Row],[2027]]+Table154[[#This Row],[2027]]</f>
        <v>519.0523874744672</v>
      </c>
      <c r="CI61" s="69">
        <f>Table9[[#This Row],[2028]]+Table11[[#This Row],[2028]]+Table154[[#This Row],[2028]]</f>
        <v>549.59987048116409</v>
      </c>
      <c r="CJ61" s="69">
        <f>Table9[[#This Row],[2029]]+Table11[[#This Row],[2029]]+Table154[[#This Row],[2029]]</f>
        <v>649.63691945297501</v>
      </c>
      <c r="CK61" s="69">
        <f>Table9[[#This Row],[2030]]+Table11[[#This Row],[2030]]+Table154[[#This Row],[2030]]</f>
        <v>572.06199370002628</v>
      </c>
      <c r="CL61" s="69">
        <f>Table9[[#This Row],[2031]]+Table11[[#This Row],[2031]]+Table154[[#This Row],[2031]]</f>
        <v>560.59955369795557</v>
      </c>
      <c r="CM61" s="69">
        <f>Table9[[#This Row],[2032]]+Table11[[#This Row],[2032]]+Table154[[#This Row],[2032]]</f>
        <v>535.26999127688146</v>
      </c>
      <c r="CN61" s="51"/>
      <c r="CO61" s="55"/>
    </row>
    <row r="62" spans="2:93" x14ac:dyDescent="0.35">
      <c r="B62" s="7" t="s">
        <v>26</v>
      </c>
      <c r="C62" s="74">
        <f t="shared" si="46"/>
        <v>22</v>
      </c>
      <c r="D62" s="55">
        <f t="shared" si="58"/>
        <v>59.949999999999996</v>
      </c>
      <c r="E62" s="55">
        <f t="shared" si="61"/>
        <v>57.75</v>
      </c>
      <c r="F62" s="55">
        <f t="shared" si="61"/>
        <v>56.65</v>
      </c>
      <c r="G62" s="55">
        <f t="shared" si="61"/>
        <v>55.55</v>
      </c>
      <c r="H62" s="55">
        <f t="shared" si="61"/>
        <v>53.9</v>
      </c>
      <c r="I62" s="55">
        <f t="shared" si="61"/>
        <v>51.699999999999996</v>
      </c>
      <c r="J62" s="51">
        <v>357.74648753348293</v>
      </c>
      <c r="K62" s="55"/>
      <c r="L62" s="98" t="s">
        <v>26</v>
      </c>
      <c r="M62" s="69"/>
      <c r="N62" s="329">
        <f t="shared" si="48"/>
        <v>57.599305594518469</v>
      </c>
      <c r="O62" s="55">
        <f t="shared" si="10"/>
        <v>164.48827072064876</v>
      </c>
      <c r="P62" s="55">
        <f t="shared" si="11"/>
        <v>221.37459541474689</v>
      </c>
      <c r="Q62" s="55">
        <f t="shared" si="12"/>
        <v>218.73498119628326</v>
      </c>
      <c r="R62" s="55">
        <f t="shared" si="13"/>
        <v>216.33843196069625</v>
      </c>
      <c r="S62" s="55">
        <f t="shared" si="14"/>
        <v>207.68653400275386</v>
      </c>
      <c r="T62" s="13">
        <f>SUM(Table5[[#This Row],[2026]:[2032]])</f>
        <v>1086.2221188896474</v>
      </c>
      <c r="U62" s="52"/>
      <c r="V62" t="s">
        <v>26</v>
      </c>
      <c r="W62" s="96">
        <f t="shared" si="15"/>
        <v>7.3333333333333321</v>
      </c>
      <c r="X62" s="13">
        <f t="shared" si="16"/>
        <v>19.983333333333327</v>
      </c>
      <c r="Y62" s="69">
        <f t="shared" si="17"/>
        <v>19.25</v>
      </c>
      <c r="Z62" s="69">
        <f t="shared" si="18"/>
        <v>18.883333333333333</v>
      </c>
      <c r="AA62" s="69">
        <f t="shared" si="19"/>
        <v>18.516666666666666</v>
      </c>
      <c r="AB62" s="69">
        <f t="shared" si="20"/>
        <v>17.966666666666661</v>
      </c>
      <c r="AC62" s="69">
        <f t="shared" si="21"/>
        <v>17.233333333333327</v>
      </c>
      <c r="AD62" s="51">
        <f t="shared" si="22"/>
        <v>119.24882917782764</v>
      </c>
      <c r="AE62" s="55"/>
      <c r="AF62" s="93" t="s">
        <v>26</v>
      </c>
      <c r="AG62" s="69">
        <f t="shared" si="49"/>
        <v>29.333333333333332</v>
      </c>
      <c r="AH62" s="13">
        <f t="shared" si="50"/>
        <v>79.933333333333323</v>
      </c>
      <c r="AI62" s="69">
        <f t="shared" si="23"/>
        <v>77</v>
      </c>
      <c r="AJ62" s="69">
        <f t="shared" si="24"/>
        <v>75.533333333333331</v>
      </c>
      <c r="AK62" s="69">
        <f t="shared" si="25"/>
        <v>74.066666666666663</v>
      </c>
      <c r="AL62" s="69">
        <f t="shared" si="26"/>
        <v>71.86666666666666</v>
      </c>
      <c r="AM62" s="69">
        <f t="shared" si="27"/>
        <v>68.933333333333323</v>
      </c>
      <c r="AN62" s="51">
        <f t="shared" si="28"/>
        <v>476.99531671131058</v>
      </c>
      <c r="AO62" s="55">
        <f t="shared" si="29"/>
        <v>0</v>
      </c>
      <c r="AP62" s="98" t="s">
        <v>26</v>
      </c>
      <c r="AQ62" s="69"/>
      <c r="AR62" s="331">
        <f t="shared" si="51"/>
        <v>37.615972261185142</v>
      </c>
      <c r="AS62" s="69">
        <f t="shared" si="30"/>
        <v>145.23827072064876</v>
      </c>
      <c r="AT62" s="69">
        <f t="shared" si="31"/>
        <v>202.49126208141357</v>
      </c>
      <c r="AU62" s="69">
        <f t="shared" si="32"/>
        <v>200.21831452961658</v>
      </c>
      <c r="AV62" s="69">
        <f t="shared" si="33"/>
        <v>198.37176529402959</v>
      </c>
      <c r="AW62" s="69">
        <f t="shared" si="59"/>
        <v>190.45320066942054</v>
      </c>
      <c r="AX62" s="13">
        <f t="shared" si="52"/>
        <v>966.97328971181969</v>
      </c>
      <c r="AY62" s="52"/>
      <c r="AZ62" s="93" t="s">
        <v>26</v>
      </c>
      <c r="BA62" s="69">
        <f>Table9[[#This Row],[2026]]</f>
        <v>29.333333333333332</v>
      </c>
      <c r="BB62" s="13">
        <f>Table9[[#This Row],[2027]]+Table11[[#This Row],[2027]]</f>
        <v>117.54930559451847</v>
      </c>
      <c r="BC62" s="69">
        <f t="shared" si="53"/>
        <v>222.23827072064876</v>
      </c>
      <c r="BD62" s="69">
        <f t="shared" si="34"/>
        <v>278.0245954147469</v>
      </c>
      <c r="BE62" s="69">
        <f t="shared" si="35"/>
        <v>274.28498119628324</v>
      </c>
      <c r="BF62" s="69">
        <f t="shared" si="36"/>
        <v>270.23843196069623</v>
      </c>
      <c r="BG62" s="69">
        <f t="shared" si="37"/>
        <v>259.38653400275388</v>
      </c>
      <c r="BH62" s="51">
        <f>SUM(Table13[[#This Row],[2026]:[2032]])</f>
        <v>1451.0554522229809</v>
      </c>
      <c r="BI62" s="55">
        <f>SUM(Table13[[#This Row],[2027]:[2032]])</f>
        <v>1421.7221188896476</v>
      </c>
      <c r="BJ62" s="75">
        <f t="shared" si="38"/>
        <v>9909.8873892570482</v>
      </c>
      <c r="BK62" s="76">
        <f t="shared" si="39"/>
        <v>9711.6849201212426</v>
      </c>
      <c r="BL62" s="93" t="s">
        <v>26</v>
      </c>
      <c r="BM62" s="69">
        <f t="shared" si="54"/>
        <v>11</v>
      </c>
      <c r="BN62" s="13">
        <f t="shared" si="55"/>
        <v>29.974999999999994</v>
      </c>
      <c r="BO62" s="69">
        <f t="shared" si="40"/>
        <v>28.875</v>
      </c>
      <c r="BP62" s="69">
        <f t="shared" si="41"/>
        <v>28.324999999999999</v>
      </c>
      <c r="BQ62" s="69">
        <f t="shared" si="42"/>
        <v>27.774999999999999</v>
      </c>
      <c r="BR62" s="69">
        <f t="shared" si="56"/>
        <v>26.949999999999996</v>
      </c>
      <c r="BS62" s="69">
        <f t="shared" si="43"/>
        <v>25.849999999999994</v>
      </c>
      <c r="BT62" s="51">
        <f t="shared" si="57"/>
        <v>178.87324376674147</v>
      </c>
      <c r="BU62" s="55">
        <f t="shared" si="44"/>
        <v>0</v>
      </c>
      <c r="BV62" s="93" t="s">
        <v>26</v>
      </c>
      <c r="BW62" s="29">
        <f>IF($AE$13=2027,IF($AE$18&gt;0,$AE$18*(SUM($AJ$7:$AO$7)-$G$65/60-$H$65/60-$I$65/60)*$AG$18*$AA29*0.87-Table7[[#This Row],[2026]],0),IF($AE$18&gt;0,IF(($AE$18*(SUM($AJ$7:$AO$7)-$G$65/60-$H$65/60-$I$65/60)*$AG$18*$AA29*0.87/2-Table7[[#This Row],[2026]])&gt;0,$AE$18*(SUM($AJ$7:$AO$7)-$G$65/60-$H$65/60-$I$65/60)*$AG$18*$AA29*0.87/2-Table7[[#This Row],[2026]],0),0))</f>
        <v>89.083423224125482</v>
      </c>
      <c r="BX62" s="13">
        <f>IF($AE$13=2027,0,IF($AE$18&gt;0,$AE$18*(SUM($AJ$7:$AO$7)-$G$65/60-$H$65/60-$I$65/60)*$AG$18*$AA29*0.87/2-IF(Table5[[#This Row],[2027]]-Table7[[#This Row],[2027]]&gt;0,Table5[[#This Row],[2027]]-Table7[[#This Row],[2027]],0),0))</f>
        <v>58.800784296273669</v>
      </c>
      <c r="BY62" s="69"/>
      <c r="BZ62" s="69"/>
      <c r="CA62" s="69">
        <f>-Dashboard!$E$16*(SUM($AJ$7:$AO$7)-$G$65/60-$H$65/60-$I$65/60)*Dashboard!$H$16/6*$AA29</f>
        <v>-36.941286037340539</v>
      </c>
      <c r="CB62" s="69">
        <f>-Dashboard!$E$16*(SUM($AJ$7:$AO$7)-$G$65/60-$H$65/60-$I$65/60)*Dashboard!$H$16/6*$AA29</f>
        <v>-36.941286037340539</v>
      </c>
      <c r="CC62" s="69">
        <f>-Dashboard!$E$16*(SUM($AJ$7:$AO$7)-$G$65/60-$H$65/60-$I$65/60)*Dashboard!$H$16/6*$AA29</f>
        <v>-36.941286037340539</v>
      </c>
      <c r="CD62" s="51">
        <f>SUM(Table154[[#This Row],[2026]:[2032]])</f>
        <v>37.060349408377512</v>
      </c>
      <c r="CE62" s="55"/>
      <c r="CF62" s="93" t="s">
        <v>26</v>
      </c>
      <c r="CG62" s="29">
        <f t="shared" si="45"/>
        <v>118.41675655745881</v>
      </c>
      <c r="CH62" s="13">
        <f>Table9[[#This Row],[2027]]+Table11[[#This Row],[2027]]+Table154[[#This Row],[2027]]</f>
        <v>176.35008989079213</v>
      </c>
      <c r="CI62" s="69">
        <f>Table9[[#This Row],[2028]]+Table11[[#This Row],[2028]]+Table154[[#This Row],[2028]]</f>
        <v>222.23827072064876</v>
      </c>
      <c r="CJ62" s="69">
        <f>Table9[[#This Row],[2029]]+Table11[[#This Row],[2029]]+Table154[[#This Row],[2029]]</f>
        <v>278.0245954147469</v>
      </c>
      <c r="CK62" s="69">
        <f>Table9[[#This Row],[2030]]+Table11[[#This Row],[2030]]+Table154[[#This Row],[2030]]</f>
        <v>237.34369515894269</v>
      </c>
      <c r="CL62" s="69">
        <f>Table9[[#This Row],[2031]]+Table11[[#This Row],[2031]]+Table154[[#This Row],[2031]]</f>
        <v>233.29714592335569</v>
      </c>
      <c r="CM62" s="69">
        <f>Table9[[#This Row],[2032]]+Table11[[#This Row],[2032]]+Table154[[#This Row],[2032]]</f>
        <v>222.44524796541333</v>
      </c>
      <c r="CN62" s="51"/>
      <c r="CO62" s="55"/>
    </row>
    <row r="63" spans="2:93" x14ac:dyDescent="0.35">
      <c r="B63" s="7" t="s">
        <v>27</v>
      </c>
      <c r="C63" s="74">
        <f t="shared" si="46"/>
        <v>420.8</v>
      </c>
      <c r="D63" s="55">
        <f t="shared" si="58"/>
        <v>1146.68</v>
      </c>
      <c r="E63" s="55">
        <f t="shared" si="61"/>
        <v>1104.5999999999999</v>
      </c>
      <c r="F63" s="55">
        <f t="shared" si="61"/>
        <v>1083.56</v>
      </c>
      <c r="G63" s="55">
        <f t="shared" si="61"/>
        <v>1062.52</v>
      </c>
      <c r="H63" s="55">
        <f t="shared" si="61"/>
        <v>1030.96</v>
      </c>
      <c r="I63" s="55">
        <f t="shared" si="61"/>
        <v>988.88</v>
      </c>
      <c r="J63" s="51">
        <v>6837.7846306189786</v>
      </c>
      <c r="K63" s="55"/>
      <c r="L63" s="98" t="s">
        <v>27</v>
      </c>
      <c r="M63" s="69"/>
      <c r="N63" s="329">
        <f t="shared" si="48"/>
        <v>881.29348290321207</v>
      </c>
      <c r="O63" s="55">
        <f t="shared" si="10"/>
        <v>2516.7393860720877</v>
      </c>
      <c r="P63" s="55">
        <f t="shared" si="11"/>
        <v>3387.1239627916339</v>
      </c>
      <c r="Q63" s="55">
        <f t="shared" si="12"/>
        <v>3346.7367604790411</v>
      </c>
      <c r="R63" s="55">
        <f t="shared" si="13"/>
        <v>3310.068554135587</v>
      </c>
      <c r="S63" s="55">
        <f t="shared" si="14"/>
        <v>3177.6908942597033</v>
      </c>
      <c r="T63" s="13">
        <f>SUM(Table5[[#This Row],[2026]:[2032]])</f>
        <v>16619.653040641264</v>
      </c>
      <c r="U63" s="52"/>
      <c r="V63" t="s">
        <v>27</v>
      </c>
      <c r="W63" s="96">
        <f t="shared" si="15"/>
        <v>140.26666666666671</v>
      </c>
      <c r="X63" s="13">
        <f t="shared" si="16"/>
        <v>382.22666666666669</v>
      </c>
      <c r="Y63" s="69">
        <f t="shared" si="17"/>
        <v>368.20000000000005</v>
      </c>
      <c r="Z63" s="69">
        <f t="shared" si="18"/>
        <v>361.18666666666672</v>
      </c>
      <c r="AA63" s="69">
        <f t="shared" si="19"/>
        <v>354.1733333333334</v>
      </c>
      <c r="AB63" s="69">
        <f t="shared" si="20"/>
        <v>343.65333333333342</v>
      </c>
      <c r="AC63" s="69">
        <f t="shared" si="21"/>
        <v>329.62666666666667</v>
      </c>
      <c r="AD63" s="51">
        <f t="shared" si="22"/>
        <v>2279.2615435396601</v>
      </c>
      <c r="AE63" s="55"/>
      <c r="AF63" s="93" t="s">
        <v>27</v>
      </c>
      <c r="AG63" s="69">
        <f t="shared" si="49"/>
        <v>561.06666666666672</v>
      </c>
      <c r="AH63" s="13">
        <f t="shared" si="50"/>
        <v>1528.9066666666668</v>
      </c>
      <c r="AI63" s="69">
        <f t="shared" si="23"/>
        <v>1472.8</v>
      </c>
      <c r="AJ63" s="69">
        <f t="shared" si="24"/>
        <v>1444.7466666666667</v>
      </c>
      <c r="AK63" s="69">
        <f t="shared" si="25"/>
        <v>1416.6933333333334</v>
      </c>
      <c r="AL63" s="69">
        <f t="shared" si="26"/>
        <v>1374.6133333333335</v>
      </c>
      <c r="AM63" s="69">
        <f t="shared" si="27"/>
        <v>1318.5066666666667</v>
      </c>
      <c r="AN63" s="51">
        <f t="shared" si="28"/>
        <v>9117.0461741586387</v>
      </c>
      <c r="AO63" s="55">
        <f t="shared" si="29"/>
        <v>0</v>
      </c>
      <c r="AP63" s="98" t="s">
        <v>27</v>
      </c>
      <c r="AQ63" s="69"/>
      <c r="AR63" s="331">
        <f t="shared" si="51"/>
        <v>499.06681623654538</v>
      </c>
      <c r="AS63" s="69">
        <f t="shared" si="30"/>
        <v>2148.5393860720878</v>
      </c>
      <c r="AT63" s="69">
        <f t="shared" si="31"/>
        <v>3025.9372961249674</v>
      </c>
      <c r="AU63" s="69">
        <f t="shared" si="32"/>
        <v>2992.5634271457075</v>
      </c>
      <c r="AV63" s="69">
        <f t="shared" si="33"/>
        <v>2966.4152208022533</v>
      </c>
      <c r="AW63" s="69">
        <f t="shared" si="59"/>
        <v>2848.0642275930368</v>
      </c>
      <c r="AX63" s="13">
        <f t="shared" si="52"/>
        <v>14340.391497101604</v>
      </c>
      <c r="AY63" s="52"/>
      <c r="AZ63" s="93" t="s">
        <v>27</v>
      </c>
      <c r="BA63" s="69">
        <f>Table9[[#This Row],[2026]]</f>
        <v>561.06666666666672</v>
      </c>
      <c r="BB63" s="13">
        <f>Table9[[#This Row],[2027]]+Table11[[#This Row],[2027]]</f>
        <v>2027.9734829032122</v>
      </c>
      <c r="BC63" s="69">
        <f t="shared" si="53"/>
        <v>3621.3393860720876</v>
      </c>
      <c r="BD63" s="69">
        <f t="shared" si="34"/>
        <v>4470.6839627916343</v>
      </c>
      <c r="BE63" s="69">
        <f t="shared" si="35"/>
        <v>4409.2567604790411</v>
      </c>
      <c r="BF63" s="69">
        <f t="shared" si="36"/>
        <v>4341.028554135587</v>
      </c>
      <c r="BG63" s="69">
        <f t="shared" si="37"/>
        <v>4166.570894259703</v>
      </c>
      <c r="BH63" s="51">
        <f>SUM(Table13[[#This Row],[2026]:[2032]])</f>
        <v>23597.919707307934</v>
      </c>
      <c r="BI63" s="55">
        <f>SUM(Table13[[#This Row],[2027]:[2032]])</f>
        <v>23036.853040641268</v>
      </c>
      <c r="BJ63" s="75">
        <f t="shared" si="38"/>
        <v>9909.8873892570482</v>
      </c>
      <c r="BK63" s="76">
        <f t="shared" si="39"/>
        <v>9711.6849201212426</v>
      </c>
      <c r="BL63" s="93" t="s">
        <v>27</v>
      </c>
      <c r="BM63" s="69">
        <f t="shared" si="54"/>
        <v>210.40000000000003</v>
      </c>
      <c r="BN63" s="13">
        <f t="shared" si="55"/>
        <v>573.34</v>
      </c>
      <c r="BO63" s="69">
        <f t="shared" si="40"/>
        <v>552.29999999999995</v>
      </c>
      <c r="BP63" s="69">
        <f t="shared" si="41"/>
        <v>541.78</v>
      </c>
      <c r="BQ63" s="69">
        <f t="shared" si="42"/>
        <v>531.26</v>
      </c>
      <c r="BR63" s="69">
        <f t="shared" si="56"/>
        <v>515.48</v>
      </c>
      <c r="BS63" s="69">
        <f t="shared" si="43"/>
        <v>494.44</v>
      </c>
      <c r="BT63" s="51">
        <f t="shared" si="57"/>
        <v>3418.8923153094893</v>
      </c>
      <c r="BU63" s="55">
        <f t="shared" si="44"/>
        <v>0</v>
      </c>
      <c r="BV63" s="93" t="s">
        <v>27</v>
      </c>
      <c r="BW63" s="29">
        <f>IF($AE$13=2027,IF($AE$18&gt;0,$AE$18*(SUM($AJ$7:$AO$7)-$G$65/60-$H$65/60-$I$65/60)*$AG$18*$AA30*0.87-Table7[[#This Row],[2026]],0),IF($AE$18&gt;0,IF(($AE$18*(SUM($AJ$7:$AO$7)-$G$65/60-$H$65/60-$I$65/60)*$AG$18*$AA30*0.87/2-Table7[[#This Row],[2026]])&gt;0,$AE$18*(SUM($AJ$7:$AO$7)-$G$65/60-$H$65/60-$I$65/60)*$AG$18*$AA30*0.87/2-Table7[[#This Row],[2026]],0),0))</f>
        <v>1334.9500624190471</v>
      </c>
      <c r="BX63" s="13">
        <f>IF($AE$13=2027,0,IF($AE$18&gt;0,$AE$18*(SUM($AJ$7:$AO$7)-$G$65/60-$H$65/60-$I$65/60)*$AG$18*$AA30*0.87/2-IF(Table5[[#This Row],[2027]]-Table7[[#This Row],[2027]]&gt;0,Table5[[#This Row],[2027]]-Table7[[#This Row],[2027]],0),0))</f>
        <v>976.14991284916835</v>
      </c>
      <c r="BY63" s="69"/>
      <c r="BZ63" s="69"/>
      <c r="CA63" s="69">
        <f>-Dashboard!$E$16*(SUM($AJ$7:$AO$7)-$G$65/60-$H$65/60-$I$65/60)*Dashboard!$H$16/6*$AA30</f>
        <v>-565.21713758073327</v>
      </c>
      <c r="CB63" s="69">
        <f>-Dashboard!$E$16*(SUM($AJ$7:$AO$7)-$G$65/60-$H$65/60-$I$65/60)*Dashboard!$H$16/6*$AA30</f>
        <v>-565.21713758073327</v>
      </c>
      <c r="CC63" s="69">
        <f>-Dashboard!$E$16*(SUM($AJ$7:$AO$7)-$G$65/60-$H$65/60-$I$65/60)*Dashboard!$H$16/6*$AA30</f>
        <v>-565.21713758073327</v>
      </c>
      <c r="CD63" s="51">
        <f>SUM(Table154[[#This Row],[2026]:[2032]])</f>
        <v>615.44856252601551</v>
      </c>
      <c r="CE63" s="55"/>
      <c r="CF63" s="93" t="s">
        <v>27</v>
      </c>
      <c r="CG63" s="29">
        <f t="shared" si="45"/>
        <v>1896.0167290857139</v>
      </c>
      <c r="CH63" s="13">
        <f>Table9[[#This Row],[2027]]+Table11[[#This Row],[2027]]+Table154[[#This Row],[2027]]</f>
        <v>3004.1233957523805</v>
      </c>
      <c r="CI63" s="69">
        <f>Table9[[#This Row],[2028]]+Table11[[#This Row],[2028]]+Table154[[#This Row],[2028]]</f>
        <v>3621.339386072088</v>
      </c>
      <c r="CJ63" s="69">
        <f>Table9[[#This Row],[2029]]+Table11[[#This Row],[2029]]+Table154[[#This Row],[2029]]</f>
        <v>4470.6839627916343</v>
      </c>
      <c r="CK63" s="69">
        <f>Table9[[#This Row],[2030]]+Table11[[#This Row],[2030]]+Table154[[#This Row],[2030]]</f>
        <v>3844.0396228983077</v>
      </c>
      <c r="CL63" s="69">
        <f>Table9[[#This Row],[2031]]+Table11[[#This Row],[2031]]+Table154[[#This Row],[2031]]</f>
        <v>3775.8114165548536</v>
      </c>
      <c r="CM63" s="69">
        <f>Table9[[#This Row],[2032]]+Table11[[#This Row],[2032]]+Table154[[#This Row],[2032]]</f>
        <v>3601.3537566789696</v>
      </c>
      <c r="CN63" s="51"/>
      <c r="CO63" s="55"/>
    </row>
    <row r="64" spans="2:93" x14ac:dyDescent="0.35">
      <c r="B64" s="7" t="s">
        <v>28</v>
      </c>
      <c r="C64" s="74">
        <f t="shared" si="46"/>
        <v>24.8</v>
      </c>
      <c r="D64" s="55">
        <f t="shared" si="58"/>
        <v>67.58</v>
      </c>
      <c r="E64" s="55">
        <f t="shared" si="61"/>
        <v>65.099999999999994</v>
      </c>
      <c r="F64" s="55">
        <f t="shared" si="61"/>
        <v>63.86</v>
      </c>
      <c r="G64" s="55">
        <f t="shared" si="61"/>
        <v>62.62</v>
      </c>
      <c r="H64" s="55">
        <f t="shared" si="61"/>
        <v>60.76</v>
      </c>
      <c r="I64" s="55">
        <f t="shared" si="61"/>
        <v>58.28</v>
      </c>
      <c r="J64" s="53">
        <v>400.41623104038547</v>
      </c>
      <c r="K64" s="55"/>
      <c r="L64" s="98" t="s">
        <v>28</v>
      </c>
      <c r="M64" s="69"/>
      <c r="N64" s="330">
        <f t="shared" si="48"/>
        <v>144.75469528417864</v>
      </c>
      <c r="O64" s="62">
        <f t="shared" si="10"/>
        <v>413.38084305403413</v>
      </c>
      <c r="P64" s="62">
        <f t="shared" si="11"/>
        <v>556.34372276129704</v>
      </c>
      <c r="Q64" s="62">
        <f t="shared" si="12"/>
        <v>549.71002209567916</v>
      </c>
      <c r="R64" s="62">
        <f t="shared" si="13"/>
        <v>543.68717597366026</v>
      </c>
      <c r="S64" s="62">
        <f t="shared" si="14"/>
        <v>521.94380876454329</v>
      </c>
      <c r="T64" s="16">
        <f>SUM(Table5[[#This Row],[2026]:[2032]])</f>
        <v>2729.8202679333926</v>
      </c>
      <c r="U64" s="52"/>
      <c r="V64" s="1" t="s">
        <v>28</v>
      </c>
      <c r="W64" s="97">
        <f t="shared" si="15"/>
        <v>8.2666666666666693</v>
      </c>
      <c r="X64" s="13">
        <f t="shared" si="16"/>
        <v>22.526666666666671</v>
      </c>
      <c r="Y64" s="69">
        <f t="shared" si="17"/>
        <v>21.700000000000003</v>
      </c>
      <c r="Z64" s="69">
        <f t="shared" si="18"/>
        <v>21.286666666666662</v>
      </c>
      <c r="AA64" s="69">
        <f t="shared" si="19"/>
        <v>20.873333333333328</v>
      </c>
      <c r="AB64" s="69">
        <f t="shared" si="20"/>
        <v>20.253333333333337</v>
      </c>
      <c r="AC64" s="69">
        <f t="shared" si="21"/>
        <v>19.426666666666662</v>
      </c>
      <c r="AD64" s="53">
        <f t="shared" si="22"/>
        <v>133.47207701346179</v>
      </c>
      <c r="AE64" s="62"/>
      <c r="AF64" s="47" t="s">
        <v>28</v>
      </c>
      <c r="AG64" s="69">
        <f t="shared" si="49"/>
        <v>33.06666666666667</v>
      </c>
      <c r="AH64" s="13">
        <f t="shared" si="50"/>
        <v>90.106666666666669</v>
      </c>
      <c r="AI64" s="69">
        <f t="shared" si="23"/>
        <v>86.8</v>
      </c>
      <c r="AJ64" s="69">
        <f t="shared" si="24"/>
        <v>85.146666666666661</v>
      </c>
      <c r="AK64" s="69">
        <f t="shared" si="25"/>
        <v>83.493333333333325</v>
      </c>
      <c r="AL64" s="69">
        <f t="shared" si="26"/>
        <v>81.013333333333335</v>
      </c>
      <c r="AM64" s="69">
        <f t="shared" si="27"/>
        <v>77.706666666666663</v>
      </c>
      <c r="AN64" s="53">
        <f t="shared" si="28"/>
        <v>533.88830805384725</v>
      </c>
      <c r="AO64" s="62">
        <f t="shared" si="29"/>
        <v>0</v>
      </c>
      <c r="AP64" s="101" t="s">
        <v>28</v>
      </c>
      <c r="AQ64" s="69"/>
      <c r="AR64" s="331">
        <f t="shared" si="51"/>
        <v>122.22802861751197</v>
      </c>
      <c r="AS64" s="69">
        <f t="shared" si="30"/>
        <v>391.68084305403414</v>
      </c>
      <c r="AT64" s="69">
        <f t="shared" si="31"/>
        <v>535.05705609463041</v>
      </c>
      <c r="AU64" s="69">
        <f t="shared" si="32"/>
        <v>528.83668876234583</v>
      </c>
      <c r="AV64" s="69">
        <f t="shared" si="33"/>
        <v>523.43384264032693</v>
      </c>
      <c r="AW64" s="69">
        <f t="shared" si="59"/>
        <v>502.51714209787662</v>
      </c>
      <c r="AX64" s="16">
        <f t="shared" si="52"/>
        <v>2596.3481909199309</v>
      </c>
      <c r="AY64" s="54"/>
      <c r="AZ64" s="47" t="s">
        <v>28</v>
      </c>
      <c r="BA64" s="69">
        <f>Table9[[#This Row],[2026]]</f>
        <v>33.06666666666667</v>
      </c>
      <c r="BB64" s="13">
        <f>Table9[[#This Row],[2027]]+Table11[[#This Row],[2027]]</f>
        <v>212.33469528417862</v>
      </c>
      <c r="BC64" s="69">
        <f t="shared" si="53"/>
        <v>478.48084305403415</v>
      </c>
      <c r="BD64" s="69">
        <f t="shared" si="34"/>
        <v>620.20372276129706</v>
      </c>
      <c r="BE64" s="69">
        <f t="shared" si="35"/>
        <v>612.33002209567917</v>
      </c>
      <c r="BF64" s="69">
        <f t="shared" si="36"/>
        <v>604.44717597366025</v>
      </c>
      <c r="BG64" s="69">
        <f t="shared" si="37"/>
        <v>580.22380876454326</v>
      </c>
      <c r="BH64" s="53">
        <f>SUM(Table13[[#This Row],[2026]:[2032]])</f>
        <v>3141.0869346000595</v>
      </c>
      <c r="BI64" s="62">
        <f>SUM(Table13[[#This Row],[2027]:[2032]])</f>
        <v>3108.0202679333925</v>
      </c>
      <c r="BJ64" s="77">
        <f t="shared" si="38"/>
        <v>9909.8873892570482</v>
      </c>
      <c r="BK64" s="78">
        <f t="shared" si="39"/>
        <v>9711.6849201212426</v>
      </c>
      <c r="BL64" s="47" t="s">
        <v>28</v>
      </c>
      <c r="BM64" s="69">
        <f t="shared" si="54"/>
        <v>12.400000000000002</v>
      </c>
      <c r="BN64" s="13">
        <f t="shared" si="55"/>
        <v>33.79</v>
      </c>
      <c r="BO64" s="69">
        <f t="shared" si="40"/>
        <v>32.549999999999997</v>
      </c>
      <c r="BP64" s="69">
        <f t="shared" si="41"/>
        <v>31.93</v>
      </c>
      <c r="BQ64" s="69">
        <f t="shared" si="42"/>
        <v>31.309999999999995</v>
      </c>
      <c r="BR64" s="69">
        <f t="shared" si="56"/>
        <v>30.380000000000003</v>
      </c>
      <c r="BS64" s="69">
        <f t="shared" si="43"/>
        <v>29.14</v>
      </c>
      <c r="BT64" s="53">
        <f t="shared" si="57"/>
        <v>200.20811552019273</v>
      </c>
      <c r="BU64" s="62">
        <f t="shared" si="44"/>
        <v>0</v>
      </c>
      <c r="BV64" s="47" t="s">
        <v>28</v>
      </c>
      <c r="BW64" s="29">
        <f>IF($AE$13=2027,IF($AE$18&gt;0,$AE$18*(SUM($AJ$7:$AO$7)-$G$65/60-$H$65/60-$I$65/60)*$AG$18*$AA31*0.87-Table7[[#This Row],[2026]],0),IF($AE$18&gt;0,IF(($AE$18*(SUM($AJ$7:$AO$7)-$G$65/60-$H$65/60-$I$65/60)*$AG$18*$AA31*0.87/2-Table7[[#This Row],[2026]])&gt;0,$AE$18*(SUM($AJ$7:$AO$7)-$G$65/60-$H$65/60-$I$65/60)*$AG$18*$AA31*0.87/2-Table7[[#This Row],[2026]],0),0))</f>
        <v>234.04143187214626</v>
      </c>
      <c r="BX64" s="13">
        <f>IF($AE$13=2027,0,IF($AE$18&gt;0,$AE$18*(SUM($AJ$7:$AO$7)-$G$65/60-$H$65/60-$I$65/60)*$AG$18*$AA31*0.87/2-IF(Table5[[#This Row],[2027]]-Table7[[#This Row],[2027]]&gt;0,Table5[[#This Row],[2027]]-Table7[[#This Row],[2027]],0),0))</f>
        <v>120.08006992130098</v>
      </c>
      <c r="BY64" s="69"/>
      <c r="BZ64" s="69"/>
      <c r="CA64" s="69">
        <f>-Dashboard!$E$16*(SUM($AJ$7:$AO$7)-$G$65/60-$H$65/60-$I$65/60)*Dashboard!$H$16/6*$AA31</f>
        <v>-92.838351930579677</v>
      </c>
      <c r="CB64" s="69">
        <f>-Dashboard!$E$16*(SUM($AJ$7:$AO$7)-$G$65/60-$H$65/60-$I$65/60)*Dashboard!$H$16/6*$AA31</f>
        <v>-92.838351930579677</v>
      </c>
      <c r="CC64" s="69">
        <f>-Dashboard!$E$16*(SUM($AJ$7:$AO$7)-$G$65/60-$H$65/60-$I$65/60)*Dashboard!$H$16/6*$AA31</f>
        <v>-92.838351930579677</v>
      </c>
      <c r="CD64" s="53">
        <f>SUM(Table154[[#This Row],[2026]:[2032]])</f>
        <v>75.606446001708207</v>
      </c>
      <c r="CE64" s="62"/>
      <c r="CF64" s="47" t="s">
        <v>28</v>
      </c>
      <c r="CG64" s="29">
        <f t="shared" si="45"/>
        <v>267.10809853881295</v>
      </c>
      <c r="CH64" s="13">
        <f>Table9[[#This Row],[2027]]+Table11[[#This Row],[2027]]+Table154[[#This Row],[2027]]</f>
        <v>332.41476520547963</v>
      </c>
      <c r="CI64" s="69">
        <f>Table9[[#This Row],[2028]]+Table11[[#This Row],[2028]]+Table154[[#This Row],[2028]]</f>
        <v>478.48084305403415</v>
      </c>
      <c r="CJ64" s="69">
        <f>Table9[[#This Row],[2029]]+Table11[[#This Row],[2029]]+Table154[[#This Row],[2029]]</f>
        <v>620.20372276129706</v>
      </c>
      <c r="CK64" s="69">
        <f>Table9[[#This Row],[2030]]+Table11[[#This Row],[2030]]+Table154[[#This Row],[2030]]</f>
        <v>519.49167016509955</v>
      </c>
      <c r="CL64" s="69">
        <f>Table9[[#This Row],[2031]]+Table11[[#This Row],[2031]]+Table154[[#This Row],[2031]]</f>
        <v>511.60882404308057</v>
      </c>
      <c r="CM64" s="69">
        <f>Table9[[#This Row],[2032]]+Table11[[#This Row],[2032]]+Table154[[#This Row],[2032]]</f>
        <v>487.38545683396359</v>
      </c>
      <c r="CN64" s="53"/>
      <c r="CO64" s="62"/>
    </row>
    <row r="65" spans="2:93" ht="15.6" thickBot="1" x14ac:dyDescent="0.4">
      <c r="B65" s="8" t="s">
        <v>29</v>
      </c>
      <c r="C65" s="79">
        <f t="shared" ref="C65:J65" si="62">SUM(C38:C64)</f>
        <v>4013.6000000000008</v>
      </c>
      <c r="D65" s="56">
        <f t="shared" si="62"/>
        <v>10937.060000000001</v>
      </c>
      <c r="E65" s="56">
        <f t="shared" si="62"/>
        <v>10535.7</v>
      </c>
      <c r="F65" s="56">
        <f t="shared" si="62"/>
        <v>10335.02</v>
      </c>
      <c r="G65" s="56">
        <f t="shared" si="62"/>
        <v>10134.340000000004</v>
      </c>
      <c r="H65" s="56">
        <f t="shared" si="62"/>
        <v>9833.3199999999979</v>
      </c>
      <c r="I65" s="58">
        <f t="shared" si="62"/>
        <v>9431.9600000000009</v>
      </c>
      <c r="J65" s="57">
        <f t="shared" si="62"/>
        <v>64999.999999999993</v>
      </c>
      <c r="K65" s="56"/>
      <c r="L65" s="99" t="s">
        <v>29</v>
      </c>
      <c r="M65" s="71">
        <f t="shared" ref="M65:S65" si="63">SUM(M38:M64)</f>
        <v>0</v>
      </c>
      <c r="N65" s="57">
        <f>SUM(N38:N64)</f>
        <v>10651.41166907031</v>
      </c>
      <c r="O65" s="56">
        <f t="shared" si="63"/>
        <v>30417.593894497386</v>
      </c>
      <c r="P65" s="56">
        <f t="shared" si="63"/>
        <v>40937.159302502972</v>
      </c>
      <c r="Q65" s="56">
        <f t="shared" si="63"/>
        <v>40449.03505520193</v>
      </c>
      <c r="R65" s="56">
        <f t="shared" si="63"/>
        <v>40005.859009415326</v>
      </c>
      <c r="S65" s="58">
        <f t="shared" si="63"/>
        <v>38405.927796397307</v>
      </c>
      <c r="T65" s="117">
        <f>SUM(T38:T64)</f>
        <v>200866.98672708523</v>
      </c>
      <c r="U65" s="124"/>
      <c r="V65" t="s">
        <v>29</v>
      </c>
      <c r="W65" s="96">
        <f t="shared" ref="W65:AD65" si="64">SUM(W38:W64)</f>
        <v>1337.8666666666663</v>
      </c>
      <c r="X65" s="15">
        <f t="shared" si="64"/>
        <v>3645.6866666666665</v>
      </c>
      <c r="Y65" s="113">
        <f t="shared" si="64"/>
        <v>3511.8999999999996</v>
      </c>
      <c r="Z65" s="113">
        <f t="shared" si="64"/>
        <v>3445.0066666666671</v>
      </c>
      <c r="AA65" s="113">
        <f t="shared" si="64"/>
        <v>3378.1133333333341</v>
      </c>
      <c r="AB65" s="113">
        <f t="shared" si="64"/>
        <v>3277.7733333333331</v>
      </c>
      <c r="AC65" s="113">
        <f t="shared" si="64"/>
        <v>3143.9866666666653</v>
      </c>
      <c r="AD65" s="49">
        <f t="shared" si="64"/>
        <v>21666.666666666661</v>
      </c>
      <c r="AE65" s="61"/>
      <c r="AF65" s="93" t="s">
        <v>29</v>
      </c>
      <c r="AG65" s="113">
        <f t="shared" si="49"/>
        <v>5351.4666666666672</v>
      </c>
      <c r="AH65" s="15">
        <f t="shared" ref="AH65:AM65" si="65">X65+D65</f>
        <v>14582.746666666668</v>
      </c>
      <c r="AI65" s="113">
        <f t="shared" si="65"/>
        <v>14047.6</v>
      </c>
      <c r="AJ65" s="113">
        <f t="shared" si="65"/>
        <v>13780.026666666668</v>
      </c>
      <c r="AK65" s="113">
        <f t="shared" si="65"/>
        <v>13512.453333333338</v>
      </c>
      <c r="AL65" s="113">
        <f t="shared" si="65"/>
        <v>13111.093333333331</v>
      </c>
      <c r="AM65" s="113">
        <f t="shared" si="65"/>
        <v>12575.946666666667</v>
      </c>
      <c r="AN65" s="49">
        <f>SUM(AN38:AN64)</f>
        <v>86666.666666666642</v>
      </c>
      <c r="AO65" s="61">
        <f>SUM(AO38:AO64)</f>
        <v>0</v>
      </c>
      <c r="AP65" s="102" t="s">
        <v>29</v>
      </c>
      <c r="AQ65" s="71">
        <f t="shared" ref="AQ65:AW65" si="66">SUM(AQ38:AQ64)</f>
        <v>0</v>
      </c>
      <c r="AR65" s="332">
        <f t="shared" si="66"/>
        <v>7146.8311185920256</v>
      </c>
      <c r="AS65" s="71">
        <f t="shared" si="66"/>
        <v>26905.693894497384</v>
      </c>
      <c r="AT65" s="71">
        <f t="shared" si="66"/>
        <v>37492.152635836297</v>
      </c>
      <c r="AU65" s="71">
        <f t="shared" si="66"/>
        <v>37070.921721868595</v>
      </c>
      <c r="AV65" s="71">
        <f t="shared" si="66"/>
        <v>36728.085676081988</v>
      </c>
      <c r="AW65" s="71">
        <f t="shared" si="66"/>
        <v>35261.941129730636</v>
      </c>
      <c r="AX65" s="117">
        <f>SUM(AX38:AX64)</f>
        <v>179200.32006041854</v>
      </c>
      <c r="AY65" s="59"/>
      <c r="AZ65" s="93" t="s">
        <v>29</v>
      </c>
      <c r="BA65" s="113">
        <f>Table9[[#This Row],[2026]]</f>
        <v>5351.4666666666672</v>
      </c>
      <c r="BB65" s="15">
        <f>Table9[[#This Row],[2027]]+Table11[[#This Row],[2027]]</f>
        <v>21729.577785258694</v>
      </c>
      <c r="BC65" s="113">
        <f t="shared" si="53"/>
        <v>40953.293894497387</v>
      </c>
      <c r="BD65" s="113">
        <f t="shared" si="34"/>
        <v>51272.179302502976</v>
      </c>
      <c r="BE65" s="113">
        <f t="shared" si="35"/>
        <v>50583.375055201934</v>
      </c>
      <c r="BF65" s="113">
        <f t="shared" si="36"/>
        <v>49839.179009415326</v>
      </c>
      <c r="BG65" s="113">
        <f t="shared" si="37"/>
        <v>47837.887796397306</v>
      </c>
      <c r="BH65" s="51">
        <f>SUM(BH38:BH64)</f>
        <v>267566.95950994029</v>
      </c>
      <c r="BI65" s="55">
        <f>SUM(BI38:BI64)</f>
        <v>262215.49284327356</v>
      </c>
      <c r="BJ65" s="81"/>
      <c r="BK65" s="82"/>
      <c r="BL65" s="93" t="s">
        <v>29</v>
      </c>
      <c r="BM65" s="113">
        <f>$BT$36*AG65</f>
        <v>2006.8000000000002</v>
      </c>
      <c r="BN65" s="15">
        <f t="shared" si="55"/>
        <v>5468.5300000000007</v>
      </c>
      <c r="BO65" s="113">
        <f t="shared" si="40"/>
        <v>5267.85</v>
      </c>
      <c r="BP65" s="113">
        <f t="shared" si="41"/>
        <v>5167.51</v>
      </c>
      <c r="BQ65" s="113">
        <f t="shared" si="42"/>
        <v>5067.1700000000019</v>
      </c>
      <c r="BR65" s="113">
        <f t="shared" si="56"/>
        <v>4916.6599999999989</v>
      </c>
      <c r="BS65" s="113">
        <f t="shared" si="43"/>
        <v>4715.9799999999996</v>
      </c>
      <c r="BT65" s="51">
        <f t="shared" si="57"/>
        <v>32499.999999999993</v>
      </c>
      <c r="BU65" s="55">
        <f t="shared" si="44"/>
        <v>0</v>
      </c>
      <c r="BV65" s="93" t="s">
        <v>29</v>
      </c>
      <c r="BW65" s="29">
        <f>SUM(BW38:BW64)</f>
        <v>16491.767827881158</v>
      </c>
      <c r="BX65" s="15">
        <f>SUM(BX38:BX64)</f>
        <v>10682.8033759558</v>
      </c>
      <c r="BY65" s="113"/>
      <c r="BZ65" s="113"/>
      <c r="CA65" s="69">
        <f>-Dashboard!$E$16*(SUM($AJ$7:$AO$7)-$G$65/60-$H$65/60-$I$65/60)*Dashboard!$H$16/6*$AA4</f>
        <v>-6831.2775841179428</v>
      </c>
      <c r="CB65" s="69">
        <f>-Dashboard!$E$16*(SUM($AJ$7:$AO$7)-$G$65/60-$H$65/60-$I$65/60)*Dashboard!$H$16/6*$AA4</f>
        <v>-6831.2775841179428</v>
      </c>
      <c r="CC65" s="69">
        <f>-Dashboard!$E$16*(SUM($AJ$7:$AO$7)-$G$65/60-$H$65/60-$I$65/60)*Dashboard!$H$16/6*$AA4</f>
        <v>-6831.2775841179428</v>
      </c>
      <c r="CD65" s="51">
        <f>SUM(Table154[[#This Row],[2026]:[2032]])</f>
        <v>6680.7384514831319</v>
      </c>
      <c r="CE65" s="55"/>
      <c r="CF65" s="93" t="s">
        <v>29</v>
      </c>
      <c r="CG65" s="29">
        <f t="shared" si="45"/>
        <v>21843.234494547825</v>
      </c>
      <c r="CH65" s="15">
        <f>Table9[[#This Row],[2027]]+Table11[[#This Row],[2027]]+Table154[[#This Row],[2027]]</f>
        <v>32412.381161214493</v>
      </c>
      <c r="CI65" s="113">
        <f t="shared" ref="CI65" si="67">BC65+BY65</f>
        <v>40953.293894497387</v>
      </c>
      <c r="CJ65" s="113">
        <f t="shared" ref="CJ65" si="68">BD65+BZ65</f>
        <v>51272.179302502976</v>
      </c>
      <c r="CK65" s="69">
        <f t="shared" ref="CK65" si="69">BE65+CA65</f>
        <v>43752.097471083995</v>
      </c>
      <c r="CL65" s="69">
        <f t="shared" ref="CL65" si="70">BF65+CB65</f>
        <v>43007.901425297387</v>
      </c>
      <c r="CM65" s="69">
        <f t="shared" ref="CM65" si="71">BG65+CC65</f>
        <v>41006.610212279367</v>
      </c>
      <c r="CN65" s="51"/>
      <c r="CO65" s="55"/>
    </row>
    <row r="66" spans="2:93" x14ac:dyDescent="0.35">
      <c r="C66" s="31"/>
      <c r="D66" s="31"/>
      <c r="E66" s="31"/>
      <c r="F66" s="31"/>
      <c r="G66" s="31"/>
      <c r="J66" s="32" t="s">
        <v>44</v>
      </c>
      <c r="K66" s="33">
        <f>J65/BI65</f>
        <v>0.24788771744639265</v>
      </c>
      <c r="L66" s="33"/>
      <c r="M66" s="4"/>
      <c r="O66" s="4"/>
      <c r="P66" s="4"/>
      <c r="BG66" s="32" t="s">
        <v>68</v>
      </c>
      <c r="BH66" s="33">
        <f>AN65/BH65</f>
        <v>0.3239064599956592</v>
      </c>
    </row>
    <row r="67" spans="2:93" x14ac:dyDescent="0.35">
      <c r="C67" s="31"/>
      <c r="D67" s="31"/>
      <c r="E67" s="31"/>
      <c r="F67" s="31"/>
      <c r="G67" s="31"/>
      <c r="J67" s="32" t="s">
        <v>45</v>
      </c>
      <c r="K67" s="33">
        <f>AP8/AP7</f>
        <v>0.17450878459124594</v>
      </c>
      <c r="L67" s="33"/>
      <c r="M67" s="4"/>
      <c r="O67" s="4"/>
      <c r="P67" s="4"/>
      <c r="T67" s="29"/>
      <c r="U67" s="29"/>
      <c r="CA67" s="29"/>
    </row>
    <row r="68" spans="2:93" x14ac:dyDescent="0.35">
      <c r="CA68" s="29"/>
    </row>
    <row r="69" spans="2:93" ht="15.6" thickBot="1" x14ac:dyDescent="0.4">
      <c r="W69" s="84"/>
      <c r="AD69" s="90" t="s">
        <v>59</v>
      </c>
      <c r="BX69" s="29"/>
    </row>
    <row r="70" spans="2:93" ht="15" customHeight="1" x14ac:dyDescent="0.35">
      <c r="C70" s="358" t="s">
        <v>53</v>
      </c>
      <c r="D70" s="359"/>
      <c r="E70" s="359"/>
      <c r="F70" s="359"/>
      <c r="G70" s="359"/>
      <c r="H70" s="359"/>
      <c r="I70" s="359"/>
      <c r="J70" s="359"/>
      <c r="K70" s="359"/>
      <c r="L70" s="360" t="s">
        <v>54</v>
      </c>
      <c r="M70" s="361"/>
      <c r="N70" s="361"/>
      <c r="O70" s="361"/>
      <c r="P70" s="361"/>
      <c r="Q70" s="361"/>
      <c r="R70" s="361"/>
      <c r="S70" s="361"/>
      <c r="T70" s="361"/>
      <c r="U70" s="362"/>
      <c r="V70" s="12" t="s">
        <v>55</v>
      </c>
      <c r="W70" s="360" t="s">
        <v>233</v>
      </c>
      <c r="X70" s="361"/>
      <c r="Y70" s="361"/>
      <c r="Z70" s="361"/>
      <c r="AA70" s="361"/>
      <c r="AB70" s="361"/>
      <c r="AC70" s="361"/>
      <c r="AD70" s="361"/>
      <c r="AE70" s="361"/>
      <c r="AF70" s="362"/>
      <c r="AH70" s="360" t="s">
        <v>132</v>
      </c>
      <c r="AI70" s="361"/>
      <c r="AJ70" s="361"/>
      <c r="AK70" s="361"/>
      <c r="AL70" s="361"/>
      <c r="AM70" s="361"/>
      <c r="AN70" s="361"/>
      <c r="AO70" s="361"/>
      <c r="AP70" s="361"/>
      <c r="AQ70" s="362"/>
      <c r="AR70" s="358" t="s">
        <v>133</v>
      </c>
      <c r="AS70" s="359"/>
      <c r="AT70" s="359"/>
      <c r="AU70" s="359"/>
      <c r="AV70" s="359"/>
      <c r="AW70" s="359"/>
      <c r="AX70" s="359"/>
      <c r="AY70" s="141" t="s">
        <v>117</v>
      </c>
      <c r="AZ70" s="87">
        <f>Dashboard!E26</f>
        <v>0.5</v>
      </c>
      <c r="BA70" s="144" t="s">
        <v>58</v>
      </c>
      <c r="BB70" s="358" t="s">
        <v>134</v>
      </c>
      <c r="BC70" s="359"/>
      <c r="BD70" s="359"/>
      <c r="BE70" s="359"/>
      <c r="BF70" s="359"/>
      <c r="BG70" s="359"/>
      <c r="BH70" s="359"/>
      <c r="BI70" s="359"/>
      <c r="BJ70" s="359"/>
      <c r="BK70" s="363"/>
    </row>
    <row r="71" spans="2:93" x14ac:dyDescent="0.35">
      <c r="B71" s="47" t="s">
        <v>60</v>
      </c>
      <c r="C71" s="68" t="s">
        <v>72</v>
      </c>
      <c r="D71" s="19" t="s">
        <v>61</v>
      </c>
      <c r="E71" s="20" t="s">
        <v>62</v>
      </c>
      <c r="F71" s="20" t="s">
        <v>63</v>
      </c>
      <c r="G71" s="20" t="s">
        <v>64</v>
      </c>
      <c r="H71" s="20" t="s">
        <v>65</v>
      </c>
      <c r="I71" s="21" t="s">
        <v>66</v>
      </c>
      <c r="J71" s="43" t="s">
        <v>47</v>
      </c>
      <c r="K71" s="43" t="s">
        <v>46</v>
      </c>
      <c r="L71" s="115" t="s">
        <v>60</v>
      </c>
      <c r="M71" s="95" t="s">
        <v>72</v>
      </c>
      <c r="N71" s="106" t="s">
        <v>61</v>
      </c>
      <c r="O71" s="95" t="s">
        <v>62</v>
      </c>
      <c r="P71" s="95" t="s">
        <v>63</v>
      </c>
      <c r="Q71" s="95" t="s">
        <v>64</v>
      </c>
      <c r="R71" s="95" t="s">
        <v>65</v>
      </c>
      <c r="S71" s="95" t="s">
        <v>66</v>
      </c>
      <c r="T71" s="25" t="s">
        <v>47</v>
      </c>
      <c r="U71" s="116" t="s">
        <v>46</v>
      </c>
      <c r="V71" s="12" t="s">
        <v>56</v>
      </c>
      <c r="W71" s="93" t="s">
        <v>60</v>
      </c>
      <c r="X71" s="20" t="s">
        <v>72</v>
      </c>
      <c r="Y71" s="19" t="s">
        <v>61</v>
      </c>
      <c r="Z71" s="20" t="s">
        <v>62</v>
      </c>
      <c r="AA71" s="20" t="s">
        <v>63</v>
      </c>
      <c r="AB71" s="20" t="s">
        <v>64</v>
      </c>
      <c r="AC71" s="20" t="s">
        <v>65</v>
      </c>
      <c r="AD71" s="20" t="s">
        <v>66</v>
      </c>
      <c r="AE71" s="25" t="s">
        <v>47</v>
      </c>
      <c r="AF71" s="43" t="s">
        <v>46</v>
      </c>
      <c r="AH71" s="93" t="s">
        <v>60</v>
      </c>
      <c r="AI71" s="20" t="s">
        <v>72</v>
      </c>
      <c r="AJ71" s="19" t="s">
        <v>61</v>
      </c>
      <c r="AK71" s="20" t="s">
        <v>62</v>
      </c>
      <c r="AL71" s="20" t="s">
        <v>63</v>
      </c>
      <c r="AM71" s="20" t="s">
        <v>64</v>
      </c>
      <c r="AN71" s="20" t="s">
        <v>65</v>
      </c>
      <c r="AO71" s="20" t="s">
        <v>66</v>
      </c>
      <c r="AP71" s="25" t="s">
        <v>47</v>
      </c>
      <c r="AQ71" s="43" t="s">
        <v>46</v>
      </c>
      <c r="AR71" s="93" t="s">
        <v>60</v>
      </c>
      <c r="AS71" s="95" t="s">
        <v>72</v>
      </c>
      <c r="AT71" s="106" t="s">
        <v>61</v>
      </c>
      <c r="AU71" s="95" t="s">
        <v>62</v>
      </c>
      <c r="AV71" s="95" t="s">
        <v>63</v>
      </c>
      <c r="AW71" s="95" t="s">
        <v>64</v>
      </c>
      <c r="AX71" s="95" t="s">
        <v>65</v>
      </c>
      <c r="AY71" s="95" t="s">
        <v>66</v>
      </c>
      <c r="AZ71" s="108" t="s">
        <v>47</v>
      </c>
      <c r="BA71" s="105" t="s">
        <v>46</v>
      </c>
      <c r="BB71" s="98" t="s">
        <v>60</v>
      </c>
      <c r="BC71" s="95" t="s">
        <v>72</v>
      </c>
      <c r="BD71" s="106" t="s">
        <v>61</v>
      </c>
      <c r="BE71" s="95" t="s">
        <v>62</v>
      </c>
      <c r="BF71" s="95" t="s">
        <v>63</v>
      </c>
      <c r="BG71" s="95" t="s">
        <v>64</v>
      </c>
      <c r="BH71" s="95" t="s">
        <v>65</v>
      </c>
      <c r="BI71" s="95" t="s">
        <v>66</v>
      </c>
      <c r="BJ71" s="108" t="s">
        <v>47</v>
      </c>
      <c r="BK71" s="145" t="s">
        <v>46</v>
      </c>
    </row>
    <row r="72" spans="2:93" x14ac:dyDescent="0.35">
      <c r="B72" s="2" t="s">
        <v>2</v>
      </c>
      <c r="C72" s="75">
        <f t="shared" ref="C72:C98" si="72">AG38/$N5</f>
        <v>5.1830821867947883</v>
      </c>
      <c r="D72" s="13">
        <f t="shared" ref="D72:D98" si="73">AH38/$N5</f>
        <v>14.123898959015797</v>
      </c>
      <c r="E72" s="69">
        <f t="shared" ref="E72:E98" si="74">AI38/$N5</f>
        <v>13.60559074033632</v>
      </c>
      <c r="F72" s="69">
        <f t="shared" ref="F72:F98" si="75">AJ38/$N5</f>
        <v>13.34643663099658</v>
      </c>
      <c r="G72" s="69">
        <f t="shared" ref="G72:G98" si="76">AK38/$N5</f>
        <v>13.08728252165684</v>
      </c>
      <c r="H72" s="69">
        <f t="shared" ref="H72:H98" si="77">AL38/$N5</f>
        <v>12.698551357647231</v>
      </c>
      <c r="I72" s="14">
        <f t="shared" ref="I72:I98" si="78">AM38/$N5</f>
        <v>12.180243138967752</v>
      </c>
      <c r="J72" s="69">
        <f t="shared" ref="J72:J98" si="79">AN38/$N5</f>
        <v>84.294861071164746</v>
      </c>
      <c r="K72" s="69"/>
      <c r="L72" s="98" t="s">
        <v>2</v>
      </c>
      <c r="M72" s="69">
        <f>AQ38/$N5</f>
        <v>0</v>
      </c>
      <c r="N72" s="13">
        <f t="shared" ref="N72:S87" si="80">AR38/$N5</f>
        <v>27.554415936978579</v>
      </c>
      <c r="O72" s="69">
        <f t="shared" si="80"/>
        <v>85.370196074860729</v>
      </c>
      <c r="P72" s="69">
        <f t="shared" si="80"/>
        <v>116.13559130270049</v>
      </c>
      <c r="Q72" s="69">
        <f t="shared" si="80"/>
        <v>114.77582378079359</v>
      </c>
      <c r="R72" s="69">
        <f t="shared" si="80"/>
        <v>113.57962866566831</v>
      </c>
      <c r="S72" s="69">
        <f t="shared" si="80"/>
        <v>109.03991977423368</v>
      </c>
      <c r="T72" s="13">
        <f>SUM(Table19[[#This Row],[2026]:[2032]])</f>
        <v>566.45557553523543</v>
      </c>
      <c r="U72" s="50"/>
      <c r="V72" s="29">
        <f t="shared" ref="V72:V98" si="81">$U$99+$J$99</f>
        <v>192.89307714165096</v>
      </c>
      <c r="W72" s="93" t="s">
        <v>2</v>
      </c>
      <c r="X72" s="29">
        <f>BW38/$N5</f>
        <v>50.738755120521304</v>
      </c>
      <c r="Y72" s="29">
        <f t="shared" ref="Y72:AD87" si="82">BX38/$N5</f>
        <v>24.480109730241423</v>
      </c>
      <c r="Z72" s="29">
        <f t="shared" si="82"/>
        <v>0</v>
      </c>
      <c r="AA72" s="29">
        <f t="shared" si="82"/>
        <v>0</v>
      </c>
      <c r="AB72" s="29">
        <f t="shared" si="82"/>
        <v>-19.936599872498086</v>
      </c>
      <c r="AC72" s="29">
        <f t="shared" si="82"/>
        <v>-19.936599872498086</v>
      </c>
      <c r="AD72" s="29">
        <f t="shared" si="82"/>
        <v>-19.936599872498086</v>
      </c>
      <c r="AE72" s="49">
        <f>SUM(Table217[[#This Row],[2026]:[2032]])</f>
        <v>15.409065233268471</v>
      </c>
      <c r="AF72" s="61"/>
      <c r="AH72" s="93" t="s">
        <v>2</v>
      </c>
      <c r="AI72" s="29">
        <f t="shared" ref="AI72:AI98" si="83">BM38/$N5</f>
        <v>1.9436558200480456</v>
      </c>
      <c r="AJ72" s="13">
        <f t="shared" ref="AJ72:AJ98" si="84">BN38/$N5</f>
        <v>5.2964621096309239</v>
      </c>
      <c r="AK72" s="69">
        <f t="shared" ref="AK72:AK98" si="85">BO38/$N5</f>
        <v>5.1020965276261201</v>
      </c>
      <c r="AL72" s="69">
        <f t="shared" ref="AL72:AL98" si="86">BP38/$N5</f>
        <v>5.0049137366237177</v>
      </c>
      <c r="AM72" s="69">
        <f t="shared" ref="AM72:AM98" si="87">BQ38/$N5</f>
        <v>4.9077309456213154</v>
      </c>
      <c r="AN72" s="69">
        <f t="shared" ref="AN72:AN98" si="88">BR38/$N5</f>
        <v>4.7619567591177114</v>
      </c>
      <c r="AO72" s="69">
        <f t="shared" ref="AO72:AO98" si="89">BS38/$N5</f>
        <v>4.5675911771129067</v>
      </c>
      <c r="AP72" s="49">
        <f t="shared" ref="AP72:AP98" si="90">BT38/$N5</f>
        <v>31.61057290168678</v>
      </c>
      <c r="AQ72" s="61"/>
      <c r="AR72" s="93" t="s">
        <v>2</v>
      </c>
      <c r="AS72" s="29">
        <f t="shared" ref="AS72:AS98" si="91">BM38/($N5*$AZ$70)</f>
        <v>3.8873116400960912</v>
      </c>
      <c r="AT72" s="13">
        <f t="shared" ref="AT72:AT98" si="92">BN38/($N5*$AZ$70)</f>
        <v>10.592924219261848</v>
      </c>
      <c r="AU72" s="69">
        <f t="shared" ref="AU72:AU98" si="93">BO38/($N5*$AZ$70)</f>
        <v>10.20419305525224</v>
      </c>
      <c r="AV72" s="69">
        <f t="shared" ref="AV72:AV98" si="94">BP38/($N5*$AZ$70)</f>
        <v>10.009827473247435</v>
      </c>
      <c r="AW72" s="69">
        <f t="shared" ref="AW72:AW98" si="95">BQ38/($N5*$AZ$70)</f>
        <v>9.8154618912426308</v>
      </c>
      <c r="AX72" s="69">
        <f t="shared" ref="AX72:AX98" si="96">BR38/($N5*$AZ$70)</f>
        <v>9.5239135182354229</v>
      </c>
      <c r="AY72" s="69">
        <f t="shared" ref="AY72:AY98" si="97">BS38/($N5*$AZ$70)</f>
        <v>9.1351823542258135</v>
      </c>
      <c r="AZ72" s="49">
        <f t="shared" ref="AZ72:AZ98" si="98">BT38/($N5*$AZ$70)</f>
        <v>63.22114580337356</v>
      </c>
      <c r="BA72" s="61"/>
      <c r="BB72" s="98" t="s">
        <v>2</v>
      </c>
      <c r="BC72" s="29">
        <f t="shared" ref="BC72:BC97" si="99">BM38/($N5*$P5)</f>
        <v>10.965718124559288</v>
      </c>
      <c r="BD72" s="13">
        <f t="shared" ref="BD72:BD98" si="100">BN38/($N5*$P5)</f>
        <v>29.881581889424055</v>
      </c>
      <c r="BE72" s="69">
        <f t="shared" ref="BE72:BE98" si="101">BO38/($N5*$P5)</f>
        <v>28.785010076968131</v>
      </c>
      <c r="BF72" s="69">
        <f t="shared" ref="BF72:BF98" si="102">BP38/($N5*$P5)</f>
        <v>28.236724170740167</v>
      </c>
      <c r="BG72" s="69">
        <f t="shared" ref="BG72:BG98" si="103">BQ38/($N5*$P5)</f>
        <v>27.6884382645122</v>
      </c>
      <c r="BH72" s="69">
        <f t="shared" ref="BH72:BH98" si="104">BR38/($N5*$P5)</f>
        <v>26.866009405170253</v>
      </c>
      <c r="BI72" s="69">
        <f t="shared" ref="BI72:BI98" si="105">BS38/($N5*$P5)</f>
        <v>25.769437592714326</v>
      </c>
      <c r="BJ72" s="49">
        <f t="shared" ref="BJ72:BJ98" si="106">BT38/($N5*$P5)</f>
        <v>178.34054189036459</v>
      </c>
      <c r="BK72" s="50"/>
    </row>
    <row r="73" spans="2:93" x14ac:dyDescent="0.35">
      <c r="B73" s="2" t="s">
        <v>3</v>
      </c>
      <c r="C73" s="75">
        <f t="shared" si="72"/>
        <v>11.50884319201151</v>
      </c>
      <c r="D73" s="13">
        <f t="shared" si="73"/>
        <v>31.361597698231357</v>
      </c>
      <c r="E73" s="69">
        <f t="shared" si="74"/>
        <v>30.21071337903021</v>
      </c>
      <c r="F73" s="69">
        <f t="shared" si="75"/>
        <v>29.635271219429633</v>
      </c>
      <c r="G73" s="69">
        <f t="shared" si="76"/>
        <v>29.059829059829063</v>
      </c>
      <c r="H73" s="69">
        <f t="shared" si="77"/>
        <v>28.196665820428194</v>
      </c>
      <c r="I73" s="14">
        <f t="shared" si="78"/>
        <v>27.045781501227044</v>
      </c>
      <c r="J73" s="55">
        <f t="shared" si="79"/>
        <v>187.27030282241145</v>
      </c>
      <c r="K73" s="55"/>
      <c r="L73" s="98" t="s">
        <v>3</v>
      </c>
      <c r="M73" s="69">
        <f t="shared" ref="M73:M98" si="107">AQ39/$N6</f>
        <v>0</v>
      </c>
      <c r="N73" s="13">
        <f t="shared" si="80"/>
        <v>26.773541557028356</v>
      </c>
      <c r="O73" s="69">
        <f t="shared" si="80"/>
        <v>91.295514981891642</v>
      </c>
      <c r="P73" s="69">
        <f t="shared" si="80"/>
        <v>125.62485510868893</v>
      </c>
      <c r="Q73" s="69">
        <f t="shared" si="80"/>
        <v>124.1824560604049</v>
      </c>
      <c r="R73" s="69">
        <f t="shared" si="80"/>
        <v>122.95805565711716</v>
      </c>
      <c r="S73" s="69">
        <f t="shared" si="80"/>
        <v>118.04647299177952</v>
      </c>
      <c r="T73" s="13">
        <f>SUM(Table19[[#This Row],[2026]:[2032]])</f>
        <v>608.88089635691051</v>
      </c>
      <c r="U73" s="52"/>
      <c r="V73" s="29">
        <f t="shared" si="81"/>
        <v>192.89307714165096</v>
      </c>
      <c r="W73" s="93" t="s">
        <v>3</v>
      </c>
      <c r="X73" s="29">
        <f t="shared" ref="X73:X98" si="108">BW39/$N6</f>
        <v>55.063833571696065</v>
      </c>
      <c r="Y73" s="29">
        <f t="shared" si="82"/>
        <v>31.167502812670584</v>
      </c>
      <c r="Z73" s="29">
        <f t="shared" si="82"/>
        <v>0</v>
      </c>
      <c r="AA73" s="29">
        <f t="shared" si="82"/>
        <v>0</v>
      </c>
      <c r="AB73" s="29">
        <f t="shared" si="82"/>
        <v>-22.199633858122198</v>
      </c>
      <c r="AC73" s="29">
        <f t="shared" si="82"/>
        <v>-22.199633858122198</v>
      </c>
      <c r="AD73" s="29">
        <f t="shared" si="82"/>
        <v>-22.199633858122198</v>
      </c>
      <c r="AE73" s="51">
        <f>SUM(Table217[[#This Row],[2026]:[2032]])</f>
        <v>19.632434810000049</v>
      </c>
      <c r="AF73" s="55"/>
      <c r="AH73" s="93" t="s">
        <v>3</v>
      </c>
      <c r="AI73" s="69">
        <f t="shared" si="83"/>
        <v>4.3158161970043158</v>
      </c>
      <c r="AJ73" s="13">
        <f t="shared" si="84"/>
        <v>11.76059913683676</v>
      </c>
      <c r="AK73" s="69">
        <f t="shared" si="85"/>
        <v>11.329017517136329</v>
      </c>
      <c r="AL73" s="69">
        <f t="shared" si="86"/>
        <v>11.113226707286112</v>
      </c>
      <c r="AM73" s="69">
        <f t="shared" si="87"/>
        <v>10.897435897435898</v>
      </c>
      <c r="AN73" s="69">
        <f t="shared" si="88"/>
        <v>10.573749682660573</v>
      </c>
      <c r="AO73" s="69">
        <f t="shared" si="89"/>
        <v>10.142168062960142</v>
      </c>
      <c r="AP73" s="51">
        <f t="shared" si="90"/>
        <v>70.226363558404302</v>
      </c>
      <c r="AQ73" s="55"/>
      <c r="AR73" s="93" t="s">
        <v>3</v>
      </c>
      <c r="AS73" s="69">
        <f t="shared" si="91"/>
        <v>8.6316323940086317</v>
      </c>
      <c r="AT73" s="13">
        <f t="shared" si="92"/>
        <v>23.521198273673519</v>
      </c>
      <c r="AU73" s="69">
        <f t="shared" si="93"/>
        <v>22.658035034272658</v>
      </c>
      <c r="AV73" s="69">
        <f t="shared" si="94"/>
        <v>22.226453414572223</v>
      </c>
      <c r="AW73" s="69">
        <f t="shared" si="95"/>
        <v>21.794871794871796</v>
      </c>
      <c r="AX73" s="69">
        <f t="shared" si="96"/>
        <v>21.147499365321146</v>
      </c>
      <c r="AY73" s="69">
        <f t="shared" si="97"/>
        <v>20.284336125920284</v>
      </c>
      <c r="AZ73" s="51">
        <f t="shared" si="98"/>
        <v>140.4527271168086</v>
      </c>
      <c r="BA73" s="55"/>
      <c r="BB73" s="98" t="s">
        <v>3</v>
      </c>
      <c r="BC73" s="69">
        <f t="shared" si="99"/>
        <v>23.2274293325736</v>
      </c>
      <c r="BD73" s="13">
        <f t="shared" si="100"/>
        <v>63.294744931263061</v>
      </c>
      <c r="BE73" s="69">
        <f t="shared" si="101"/>
        <v>60.972001998005702</v>
      </c>
      <c r="BF73" s="69">
        <f t="shared" si="102"/>
        <v>59.810630531377015</v>
      </c>
      <c r="BG73" s="69">
        <f t="shared" si="103"/>
        <v>58.649259064748342</v>
      </c>
      <c r="BH73" s="69">
        <f t="shared" si="104"/>
        <v>56.907201864805316</v>
      </c>
      <c r="BI73" s="69">
        <f t="shared" si="105"/>
        <v>54.584458931547957</v>
      </c>
      <c r="BJ73" s="51">
        <f t="shared" si="106"/>
        <v>377.95351386110633</v>
      </c>
      <c r="BK73" s="52"/>
    </row>
    <row r="74" spans="2:93" x14ac:dyDescent="0.35">
      <c r="B74" s="2" t="s">
        <v>4</v>
      </c>
      <c r="C74" s="75">
        <f t="shared" si="72"/>
        <v>31.859322472200674</v>
      </c>
      <c r="D74" s="13">
        <f t="shared" si="73"/>
        <v>86.816653736746829</v>
      </c>
      <c r="E74" s="69">
        <f t="shared" si="74"/>
        <v>83.630721489526763</v>
      </c>
      <c r="F74" s="69">
        <f t="shared" si="75"/>
        <v>82.037755365916723</v>
      </c>
      <c r="G74" s="69">
        <f t="shared" si="76"/>
        <v>80.444789242306697</v>
      </c>
      <c r="H74" s="69">
        <f t="shared" si="77"/>
        <v>78.055340056891637</v>
      </c>
      <c r="I74" s="14">
        <f t="shared" si="78"/>
        <v>74.869407809671571</v>
      </c>
      <c r="J74" s="55">
        <f t="shared" si="79"/>
        <v>517.09134322381169</v>
      </c>
      <c r="K74" s="55"/>
      <c r="L74" s="98" t="s">
        <v>4</v>
      </c>
      <c r="M74" s="69">
        <f t="shared" si="107"/>
        <v>0</v>
      </c>
      <c r="N74" s="13">
        <f t="shared" si="80"/>
        <v>0</v>
      </c>
      <c r="O74" s="69">
        <f t="shared" si="80"/>
        <v>21.921406464306553</v>
      </c>
      <c r="P74" s="69">
        <f t="shared" si="80"/>
        <v>37.131581572414113</v>
      </c>
      <c r="Q74" s="69">
        <f t="shared" si="80"/>
        <v>36.842526276116494</v>
      </c>
      <c r="R74" s="69">
        <f t="shared" si="80"/>
        <v>36.81588046010053</v>
      </c>
      <c r="S74" s="69">
        <f t="shared" si="80"/>
        <v>35.359601745522156</v>
      </c>
      <c r="T74" s="13">
        <f>SUM(Table19[[#This Row],[2026]:[2032]])</f>
        <v>168.07099651845985</v>
      </c>
      <c r="U74" s="52"/>
      <c r="V74" s="29">
        <f t="shared" si="81"/>
        <v>192.89307714165096</v>
      </c>
      <c r="W74" s="93" t="s">
        <v>4</v>
      </c>
      <c r="X74" s="29">
        <f t="shared" si="108"/>
        <v>17.139948105803558</v>
      </c>
      <c r="Y74" s="29">
        <f t="shared" si="82"/>
        <v>25.104778723853727</v>
      </c>
      <c r="Z74" s="29">
        <f t="shared" si="82"/>
        <v>0</v>
      </c>
      <c r="AA74" s="29">
        <f t="shared" si="82"/>
        <v>0</v>
      </c>
      <c r="AB74" s="29">
        <f t="shared" si="82"/>
        <v>-9.6186891662274814</v>
      </c>
      <c r="AC74" s="29">
        <f t="shared" si="82"/>
        <v>-9.6186891662274814</v>
      </c>
      <c r="AD74" s="29">
        <f t="shared" si="82"/>
        <v>-9.6186891662274814</v>
      </c>
      <c r="AE74" s="51">
        <f>SUM(Table217[[#This Row],[2026]:[2032]])</f>
        <v>13.388659330974834</v>
      </c>
      <c r="AF74" s="55"/>
      <c r="AH74" s="93" t="s">
        <v>4</v>
      </c>
      <c r="AI74" s="69">
        <f t="shared" si="83"/>
        <v>11.947245927075251</v>
      </c>
      <c r="AJ74" s="13">
        <f t="shared" si="84"/>
        <v>32.556245151280059</v>
      </c>
      <c r="AK74" s="69">
        <f t="shared" si="85"/>
        <v>31.361520558572536</v>
      </c>
      <c r="AL74" s="69">
        <f t="shared" si="86"/>
        <v>30.764158262218775</v>
      </c>
      <c r="AM74" s="69">
        <f t="shared" si="87"/>
        <v>30.166795965865013</v>
      </c>
      <c r="AN74" s="69">
        <f t="shared" si="88"/>
        <v>29.270752521334366</v>
      </c>
      <c r="AO74" s="69">
        <f t="shared" si="89"/>
        <v>28.076027928626839</v>
      </c>
      <c r="AP74" s="51">
        <f t="shared" si="90"/>
        <v>193.90925370892936</v>
      </c>
      <c r="AQ74" s="55"/>
      <c r="AR74" s="93" t="s">
        <v>4</v>
      </c>
      <c r="AS74" s="69">
        <f t="shared" si="91"/>
        <v>23.894491854150502</v>
      </c>
      <c r="AT74" s="13">
        <f t="shared" si="92"/>
        <v>65.112490302560118</v>
      </c>
      <c r="AU74" s="69">
        <f t="shared" si="93"/>
        <v>62.723041117145073</v>
      </c>
      <c r="AV74" s="69">
        <f t="shared" si="94"/>
        <v>61.52831652443755</v>
      </c>
      <c r="AW74" s="69">
        <f t="shared" si="95"/>
        <v>60.333591931730027</v>
      </c>
      <c r="AX74" s="69">
        <f t="shared" si="96"/>
        <v>58.541505042668732</v>
      </c>
      <c r="AY74" s="69">
        <f t="shared" si="97"/>
        <v>56.152055857253679</v>
      </c>
      <c r="AZ74" s="51">
        <f t="shared" si="98"/>
        <v>387.81850741785871</v>
      </c>
      <c r="BA74" s="55"/>
      <c r="BB74" s="98" t="s">
        <v>4</v>
      </c>
      <c r="BC74" s="69">
        <f t="shared" si="99"/>
        <v>39.876754427958673</v>
      </c>
      <c r="BD74" s="13">
        <f t="shared" si="100"/>
        <v>108.66415581618739</v>
      </c>
      <c r="BE74" s="69">
        <f t="shared" si="101"/>
        <v>104.67648037339153</v>
      </c>
      <c r="BF74" s="69">
        <f t="shared" si="102"/>
        <v>102.68264265199359</v>
      </c>
      <c r="BG74" s="69">
        <f t="shared" si="103"/>
        <v>100.68880493059567</v>
      </c>
      <c r="BH74" s="69">
        <f t="shared" si="104"/>
        <v>97.698048348498759</v>
      </c>
      <c r="BI74" s="69">
        <f t="shared" si="105"/>
        <v>93.710372905702883</v>
      </c>
      <c r="BJ74" s="51">
        <f t="shared" si="106"/>
        <v>647.21792274620566</v>
      </c>
      <c r="BK74" s="52"/>
    </row>
    <row r="75" spans="2:93" x14ac:dyDescent="0.35">
      <c r="B75" s="2" t="s">
        <v>5</v>
      </c>
      <c r="C75" s="75">
        <f t="shared" si="72"/>
        <v>26.790954600379774</v>
      </c>
      <c r="D75" s="13">
        <f t="shared" si="73"/>
        <v>73.005351286034866</v>
      </c>
      <c r="E75" s="69">
        <f t="shared" si="74"/>
        <v>70.326255825996896</v>
      </c>
      <c r="F75" s="69">
        <f t="shared" si="75"/>
        <v>68.986708095977903</v>
      </c>
      <c r="G75" s="69">
        <f t="shared" si="76"/>
        <v>67.647160365958911</v>
      </c>
      <c r="H75" s="69">
        <f t="shared" si="77"/>
        <v>65.637838770930429</v>
      </c>
      <c r="I75" s="14">
        <f t="shared" si="78"/>
        <v>62.958743310892459</v>
      </c>
      <c r="J75" s="55">
        <f t="shared" si="79"/>
        <v>436.06832350235436</v>
      </c>
      <c r="K75" s="55"/>
      <c r="L75" s="98" t="s">
        <v>5</v>
      </c>
      <c r="M75" s="69">
        <f t="shared" si="107"/>
        <v>0</v>
      </c>
      <c r="N75" s="13">
        <f t="shared" si="80"/>
        <v>0.46633141917715043</v>
      </c>
      <c r="O75" s="69">
        <f t="shared" si="80"/>
        <v>35.871112487129608</v>
      </c>
      <c r="P75" s="69">
        <f t="shared" si="80"/>
        <v>54.691975924943492</v>
      </c>
      <c r="Q75" s="69">
        <f t="shared" si="80"/>
        <v>54.169084706231857</v>
      </c>
      <c r="R75" s="69">
        <f t="shared" si="80"/>
        <v>53.892624189929663</v>
      </c>
      <c r="S75" s="69">
        <f t="shared" si="80"/>
        <v>51.750847418878308</v>
      </c>
      <c r="T75" s="13">
        <f>SUM(Table19[[#This Row],[2026]:[2032]])</f>
        <v>250.84197614629011</v>
      </c>
      <c r="U75" s="52"/>
      <c r="V75" s="29">
        <f t="shared" si="81"/>
        <v>192.89307714165096</v>
      </c>
      <c r="W75" s="93" t="s">
        <v>5</v>
      </c>
      <c r="X75" s="29">
        <f t="shared" si="108"/>
        <v>24.634183495056586</v>
      </c>
      <c r="Y75" s="29">
        <f t="shared" si="82"/>
        <v>30.865590725974378</v>
      </c>
      <c r="Z75" s="29">
        <f t="shared" si="82"/>
        <v>0</v>
      </c>
      <c r="AA75" s="29">
        <f t="shared" si="82"/>
        <v>0</v>
      </c>
      <c r="AB75" s="29">
        <f t="shared" si="82"/>
        <v>-12.004567871705568</v>
      </c>
      <c r="AC75" s="29">
        <f t="shared" si="82"/>
        <v>-12.004567871705568</v>
      </c>
      <c r="AD75" s="29">
        <f t="shared" si="82"/>
        <v>-12.004567871705568</v>
      </c>
      <c r="AE75" s="51">
        <f>SUM(Table217[[#This Row],[2026]:[2032]])</f>
        <v>19.486070605914257</v>
      </c>
      <c r="AF75" s="55"/>
      <c r="AH75" s="93" t="s">
        <v>5</v>
      </c>
      <c r="AI75" s="69">
        <f t="shared" si="83"/>
        <v>10.046607975142415</v>
      </c>
      <c r="AJ75" s="13">
        <f t="shared" si="84"/>
        <v>27.377006732263073</v>
      </c>
      <c r="AK75" s="69">
        <f t="shared" si="85"/>
        <v>26.372345934748836</v>
      </c>
      <c r="AL75" s="69">
        <f t="shared" si="86"/>
        <v>25.870015535991712</v>
      </c>
      <c r="AM75" s="69">
        <f t="shared" si="87"/>
        <v>25.367685137234592</v>
      </c>
      <c r="AN75" s="69">
        <f t="shared" si="88"/>
        <v>24.614189539098913</v>
      </c>
      <c r="AO75" s="69">
        <f t="shared" si="89"/>
        <v>23.609528741584672</v>
      </c>
      <c r="AP75" s="51">
        <f t="shared" si="90"/>
        <v>163.52562131338289</v>
      </c>
      <c r="AQ75" s="55"/>
      <c r="AR75" s="93" t="s">
        <v>5</v>
      </c>
      <c r="AS75" s="69">
        <f t="shared" si="91"/>
        <v>20.093215950284829</v>
      </c>
      <c r="AT75" s="13">
        <f t="shared" si="92"/>
        <v>54.754013464526146</v>
      </c>
      <c r="AU75" s="69">
        <f t="shared" si="93"/>
        <v>52.744691869497672</v>
      </c>
      <c r="AV75" s="69">
        <f t="shared" si="94"/>
        <v>51.740031071983424</v>
      </c>
      <c r="AW75" s="69">
        <f t="shared" si="95"/>
        <v>50.735370274469183</v>
      </c>
      <c r="AX75" s="69">
        <f t="shared" si="96"/>
        <v>49.228379078197825</v>
      </c>
      <c r="AY75" s="69">
        <f t="shared" si="97"/>
        <v>47.219057483169344</v>
      </c>
      <c r="AZ75" s="51">
        <f t="shared" si="98"/>
        <v>327.05124262676577</v>
      </c>
      <c r="BA75" s="55"/>
      <c r="BB75" s="98" t="s">
        <v>5</v>
      </c>
      <c r="BC75" s="69">
        <f t="shared" si="99"/>
        <v>48.536835067369395</v>
      </c>
      <c r="BD75" s="13">
        <f t="shared" si="100"/>
        <v>132.26287555858158</v>
      </c>
      <c r="BE75" s="69">
        <f t="shared" si="101"/>
        <v>127.40919205184466</v>
      </c>
      <c r="BF75" s="69">
        <f t="shared" si="102"/>
        <v>124.98235029847618</v>
      </c>
      <c r="BG75" s="69">
        <f t="shared" si="103"/>
        <v>122.55550854510771</v>
      </c>
      <c r="BH75" s="69">
        <f t="shared" si="104"/>
        <v>118.91524591505501</v>
      </c>
      <c r="BI75" s="69">
        <f t="shared" si="105"/>
        <v>114.06156240831807</v>
      </c>
      <c r="BJ75" s="51">
        <f t="shared" si="106"/>
        <v>790.01949022145061</v>
      </c>
      <c r="BK75" s="52"/>
    </row>
    <row r="76" spans="2:93" x14ac:dyDescent="0.35">
      <c r="B76" s="2" t="s">
        <v>6</v>
      </c>
      <c r="C76" s="75">
        <f t="shared" si="72"/>
        <v>11.042097998619738</v>
      </c>
      <c r="D76" s="13">
        <f t="shared" si="73"/>
        <v>30.089717046238786</v>
      </c>
      <c r="E76" s="69">
        <f t="shared" si="74"/>
        <v>28.985507246376812</v>
      </c>
      <c r="F76" s="69">
        <f t="shared" si="75"/>
        <v>28.433402346445828</v>
      </c>
      <c r="G76" s="69">
        <f t="shared" si="76"/>
        <v>27.881297446514839</v>
      </c>
      <c r="H76" s="69">
        <f t="shared" si="77"/>
        <v>27.05314009661836</v>
      </c>
      <c r="I76" s="14">
        <f t="shared" si="78"/>
        <v>25.948930296756384</v>
      </c>
      <c r="J76" s="55">
        <f t="shared" si="79"/>
        <v>180.98399907722799</v>
      </c>
      <c r="K76" s="55"/>
      <c r="L76" s="98" t="s">
        <v>6</v>
      </c>
      <c r="M76" s="69">
        <f t="shared" si="107"/>
        <v>0</v>
      </c>
      <c r="N76" s="13">
        <f t="shared" si="80"/>
        <v>13.643482759695196</v>
      </c>
      <c r="O76" s="69">
        <f t="shared" si="80"/>
        <v>53.197828733358328</v>
      </c>
      <c r="P76" s="69">
        <f t="shared" si="80"/>
        <v>74.239769185432138</v>
      </c>
      <c r="Q76" s="69">
        <f t="shared" si="80"/>
        <v>73.407821176500306</v>
      </c>
      <c r="R76" s="69">
        <f t="shared" si="80"/>
        <v>72.734204927045496</v>
      </c>
      <c r="S76" s="69">
        <f t="shared" si="80"/>
        <v>69.830960177078921</v>
      </c>
      <c r="T76" s="13">
        <f>SUM(Table19[[#This Row],[2026]:[2032]])</f>
        <v>357.05406695911034</v>
      </c>
      <c r="U76" s="52"/>
      <c r="V76" s="29">
        <f t="shared" si="81"/>
        <v>192.89307714165096</v>
      </c>
      <c r="W76" s="93" t="s">
        <v>6</v>
      </c>
      <c r="X76" s="29">
        <f t="shared" si="108"/>
        <v>32.669565596155799</v>
      </c>
      <c r="Y76" s="29">
        <f t="shared" si="82"/>
        <v>21.78660733611553</v>
      </c>
      <c r="Z76" s="29">
        <f t="shared" si="82"/>
        <v>0</v>
      </c>
      <c r="AA76" s="29">
        <f t="shared" si="82"/>
        <v>0</v>
      </c>
      <c r="AB76" s="29">
        <f t="shared" si="82"/>
        <v>-13.57474716314587</v>
      </c>
      <c r="AC76" s="29">
        <f t="shared" si="82"/>
        <v>-13.57474716314587</v>
      </c>
      <c r="AD76" s="29">
        <f t="shared" si="82"/>
        <v>-13.57474716314587</v>
      </c>
      <c r="AE76" s="51">
        <f>SUM(Table217[[#This Row],[2026]:[2032]])</f>
        <v>13.731931442833714</v>
      </c>
      <c r="AF76" s="55"/>
      <c r="AH76" s="93" t="s">
        <v>6</v>
      </c>
      <c r="AI76" s="69">
        <f t="shared" si="83"/>
        <v>4.1407867494824018</v>
      </c>
      <c r="AJ76" s="13">
        <f t="shared" si="84"/>
        <v>11.283643892339546</v>
      </c>
      <c r="AK76" s="69">
        <f t="shared" si="85"/>
        <v>10.869565217391305</v>
      </c>
      <c r="AL76" s="69">
        <f t="shared" si="86"/>
        <v>10.662525879917185</v>
      </c>
      <c r="AM76" s="69">
        <f t="shared" si="87"/>
        <v>10.455486542443063</v>
      </c>
      <c r="AN76" s="69">
        <f t="shared" si="88"/>
        <v>10.144927536231885</v>
      </c>
      <c r="AO76" s="69">
        <f t="shared" si="89"/>
        <v>9.7308488612836452</v>
      </c>
      <c r="AP76" s="51">
        <f t="shared" si="90"/>
        <v>67.8689996539605</v>
      </c>
      <c r="AQ76" s="55"/>
      <c r="AR76" s="93" t="s">
        <v>6</v>
      </c>
      <c r="AS76" s="69">
        <f t="shared" si="91"/>
        <v>8.2815734989648035</v>
      </c>
      <c r="AT76" s="13">
        <f t="shared" si="92"/>
        <v>22.567287784679092</v>
      </c>
      <c r="AU76" s="69">
        <f t="shared" si="93"/>
        <v>21.739130434782609</v>
      </c>
      <c r="AV76" s="69">
        <f t="shared" si="94"/>
        <v>21.32505175983437</v>
      </c>
      <c r="AW76" s="69">
        <f t="shared" si="95"/>
        <v>20.910973084886127</v>
      </c>
      <c r="AX76" s="69">
        <f t="shared" si="96"/>
        <v>20.289855072463769</v>
      </c>
      <c r="AY76" s="69">
        <f t="shared" si="97"/>
        <v>19.46169772256729</v>
      </c>
      <c r="AZ76" s="51">
        <f t="shared" si="98"/>
        <v>135.737999307921</v>
      </c>
      <c r="BA76" s="55"/>
      <c r="BB76" s="98" t="s">
        <v>6</v>
      </c>
      <c r="BC76" s="69">
        <f t="shared" si="99"/>
        <v>24.795130236421571</v>
      </c>
      <c r="BD76" s="13">
        <f t="shared" si="100"/>
        <v>67.56672989424878</v>
      </c>
      <c r="BE76" s="69">
        <f t="shared" si="101"/>
        <v>65.087216870606625</v>
      </c>
      <c r="BF76" s="69">
        <f t="shared" si="102"/>
        <v>63.847460358785554</v>
      </c>
      <c r="BG76" s="69">
        <f t="shared" si="103"/>
        <v>62.607703846964469</v>
      </c>
      <c r="BH76" s="69">
        <f t="shared" si="104"/>
        <v>60.748069079232856</v>
      </c>
      <c r="BI76" s="69">
        <f t="shared" si="105"/>
        <v>58.268556055590693</v>
      </c>
      <c r="BJ76" s="51">
        <f t="shared" si="106"/>
        <v>406.40119553269767</v>
      </c>
      <c r="BK76" s="52"/>
    </row>
    <row r="77" spans="2:93" x14ac:dyDescent="0.35">
      <c r="B77" s="2" t="s">
        <v>7</v>
      </c>
      <c r="C77" s="75">
        <f t="shared" si="72"/>
        <v>11.742042014494084</v>
      </c>
      <c r="D77" s="13">
        <f t="shared" si="73"/>
        <v>31.997064489496378</v>
      </c>
      <c r="E77" s="69">
        <f t="shared" si="74"/>
        <v>30.822860288046968</v>
      </c>
      <c r="F77" s="69">
        <f t="shared" si="75"/>
        <v>30.235758187322265</v>
      </c>
      <c r="G77" s="69">
        <f t="shared" si="76"/>
        <v>29.648656086597558</v>
      </c>
      <c r="H77" s="69">
        <f t="shared" si="77"/>
        <v>28.768002935510506</v>
      </c>
      <c r="I77" s="14">
        <f t="shared" si="78"/>
        <v>27.593798734061096</v>
      </c>
      <c r="J77" s="55">
        <f t="shared" si="79"/>
        <v>191.00809997773106</v>
      </c>
      <c r="K77" s="55"/>
      <c r="L77" s="98" t="s">
        <v>7</v>
      </c>
      <c r="M77" s="69">
        <f t="shared" si="107"/>
        <v>0</v>
      </c>
      <c r="N77" s="13">
        <f t="shared" si="80"/>
        <v>16.767559378061321</v>
      </c>
      <c r="O77" s="69">
        <f t="shared" si="80"/>
        <v>63.021739985960032</v>
      </c>
      <c r="P77" s="69">
        <f t="shared" si="80"/>
        <v>87.628770066604417</v>
      </c>
      <c r="Q77" s="69">
        <f t="shared" si="80"/>
        <v>86.640551618119048</v>
      </c>
      <c r="R77" s="69">
        <f t="shared" si="80"/>
        <v>85.830235178603374</v>
      </c>
      <c r="S77" s="69">
        <f t="shared" si="80"/>
        <v>82.403601675346295</v>
      </c>
      <c r="T77" s="13">
        <f>SUM(Table19[[#This Row],[2026]:[2032]])</f>
        <v>422.29245790269454</v>
      </c>
      <c r="U77" s="52"/>
      <c r="V77" s="29">
        <f t="shared" si="81"/>
        <v>192.89307714165096</v>
      </c>
      <c r="W77" s="93" t="s">
        <v>7</v>
      </c>
      <c r="X77" s="29">
        <f t="shared" si="108"/>
        <v>38.522228618908471</v>
      </c>
      <c r="Y77" s="29">
        <f t="shared" si="82"/>
        <v>24.690179744470672</v>
      </c>
      <c r="Z77" s="29">
        <f t="shared" si="82"/>
        <v>0</v>
      </c>
      <c r="AA77" s="29">
        <f t="shared" si="82"/>
        <v>0</v>
      </c>
      <c r="AB77" s="29">
        <f t="shared" si="82"/>
        <v>-15.884191234686588</v>
      </c>
      <c r="AC77" s="29">
        <f t="shared" si="82"/>
        <v>-15.884191234686588</v>
      </c>
      <c r="AD77" s="29">
        <f t="shared" si="82"/>
        <v>-15.884191234686588</v>
      </c>
      <c r="AE77" s="51">
        <f>SUM(Table217[[#This Row],[2026]:[2032]])</f>
        <v>15.559834659319373</v>
      </c>
      <c r="AF77" s="55"/>
      <c r="AH77" s="93" t="s">
        <v>7</v>
      </c>
      <c r="AI77" s="69">
        <f t="shared" si="83"/>
        <v>4.4032657554352816</v>
      </c>
      <c r="AJ77" s="13">
        <f t="shared" si="84"/>
        <v>11.998899183561143</v>
      </c>
      <c r="AK77" s="69">
        <f t="shared" si="85"/>
        <v>11.558572608017613</v>
      </c>
      <c r="AL77" s="69">
        <f t="shared" si="86"/>
        <v>11.33840932024585</v>
      </c>
      <c r="AM77" s="69">
        <f t="shared" si="87"/>
        <v>11.118246032474085</v>
      </c>
      <c r="AN77" s="69">
        <f t="shared" si="88"/>
        <v>10.788001100816439</v>
      </c>
      <c r="AO77" s="69">
        <f t="shared" si="89"/>
        <v>10.347674525272913</v>
      </c>
      <c r="AP77" s="51">
        <f t="shared" si="90"/>
        <v>71.628037491649138</v>
      </c>
      <c r="AQ77" s="55"/>
      <c r="AR77" s="93" t="s">
        <v>7</v>
      </c>
      <c r="AS77" s="69">
        <f t="shared" si="91"/>
        <v>8.8065315108705633</v>
      </c>
      <c r="AT77" s="13">
        <f t="shared" si="92"/>
        <v>23.997798367122286</v>
      </c>
      <c r="AU77" s="69">
        <f t="shared" si="93"/>
        <v>23.117145216035226</v>
      </c>
      <c r="AV77" s="69">
        <f t="shared" si="94"/>
        <v>22.6768186404917</v>
      </c>
      <c r="AW77" s="69">
        <f t="shared" si="95"/>
        <v>22.23649206494817</v>
      </c>
      <c r="AX77" s="69">
        <f t="shared" si="96"/>
        <v>21.576002201632878</v>
      </c>
      <c r="AY77" s="69">
        <f t="shared" si="97"/>
        <v>20.695349050545826</v>
      </c>
      <c r="AZ77" s="51">
        <f t="shared" si="98"/>
        <v>143.25607498329828</v>
      </c>
      <c r="BA77" s="55"/>
      <c r="BB77" s="98" t="s">
        <v>7</v>
      </c>
      <c r="BC77" s="69">
        <f t="shared" si="99"/>
        <v>36.721735432392599</v>
      </c>
      <c r="BD77" s="13">
        <f t="shared" si="100"/>
        <v>100.06672905326984</v>
      </c>
      <c r="BE77" s="69">
        <f t="shared" si="101"/>
        <v>96.394555510030571</v>
      </c>
      <c r="BF77" s="69">
        <f t="shared" si="102"/>
        <v>94.558468738410951</v>
      </c>
      <c r="BG77" s="69">
        <f t="shared" si="103"/>
        <v>92.722381966791303</v>
      </c>
      <c r="BH77" s="69">
        <f t="shared" si="104"/>
        <v>89.968251809361874</v>
      </c>
      <c r="BI77" s="69">
        <f t="shared" si="105"/>
        <v>86.296078266122606</v>
      </c>
      <c r="BJ77" s="51">
        <f t="shared" si="106"/>
        <v>597.35341639624039</v>
      </c>
      <c r="BK77" s="52"/>
    </row>
    <row r="78" spans="2:93" x14ac:dyDescent="0.35">
      <c r="B78" s="2" t="s">
        <v>8</v>
      </c>
      <c r="C78" s="75">
        <f t="shared" si="72"/>
        <v>4.4735223396521837</v>
      </c>
      <c r="D78" s="13">
        <f t="shared" si="73"/>
        <v>12.190348375552201</v>
      </c>
      <c r="E78" s="69">
        <f t="shared" si="74"/>
        <v>11.742996141586982</v>
      </c>
      <c r="F78" s="69">
        <f t="shared" si="75"/>
        <v>11.519320024604372</v>
      </c>
      <c r="G78" s="69">
        <f t="shared" si="76"/>
        <v>11.295643907621763</v>
      </c>
      <c r="H78" s="69">
        <f t="shared" si="77"/>
        <v>10.960129732147848</v>
      </c>
      <c r="I78" s="14">
        <f t="shared" si="78"/>
        <v>10.512777498182631</v>
      </c>
      <c r="J78" s="55">
        <f t="shared" si="79"/>
        <v>72.698207782491991</v>
      </c>
      <c r="K78" s="55"/>
      <c r="L78" s="98" t="s">
        <v>8</v>
      </c>
      <c r="M78" s="69">
        <f t="shared" si="107"/>
        <v>0</v>
      </c>
      <c r="N78" s="13">
        <f t="shared" si="80"/>
        <v>18.270013076282346</v>
      </c>
      <c r="O78" s="69">
        <f t="shared" si="80"/>
        <v>57.941637448915955</v>
      </c>
      <c r="P78" s="69">
        <f t="shared" si="80"/>
        <v>79.051281214292473</v>
      </c>
      <c r="Q78" s="69">
        <f t="shared" si="80"/>
        <v>78.130274568273407</v>
      </c>
      <c r="R78" s="69">
        <f t="shared" si="80"/>
        <v>77.327186197088778</v>
      </c>
      <c r="S78" s="69">
        <f t="shared" si="80"/>
        <v>74.236942225652243</v>
      </c>
      <c r="T78" s="13">
        <f>SUM(Table19[[#This Row],[2026]:[2032]])</f>
        <v>384.95733473050524</v>
      </c>
      <c r="U78" s="52"/>
      <c r="V78" s="29">
        <f t="shared" si="81"/>
        <v>192.89307714165096</v>
      </c>
      <c r="W78" s="93" t="s">
        <v>8</v>
      </c>
      <c r="X78" s="29">
        <f t="shared" si="108"/>
        <v>34.565623671418905</v>
      </c>
      <c r="Y78" s="29">
        <f t="shared" si="82"/>
        <v>17.413991180049603</v>
      </c>
      <c r="Z78" s="29">
        <f t="shared" si="82"/>
        <v>0</v>
      </c>
      <c r="AA78" s="29">
        <f t="shared" si="82"/>
        <v>0</v>
      </c>
      <c r="AB78" s="29">
        <f t="shared" si="82"/>
        <v>-13.67203228211952</v>
      </c>
      <c r="AC78" s="29">
        <f t="shared" si="82"/>
        <v>-13.67203228211952</v>
      </c>
      <c r="AD78" s="29">
        <f t="shared" si="82"/>
        <v>-13.67203228211952</v>
      </c>
      <c r="AE78" s="51">
        <f>SUM(Table217[[#This Row],[2026]:[2032]])</f>
        <v>10.963518005109954</v>
      </c>
      <c r="AF78" s="55"/>
      <c r="AH78" s="93" t="s">
        <v>8</v>
      </c>
      <c r="AI78" s="69">
        <f t="shared" si="83"/>
        <v>1.6775708773695688</v>
      </c>
      <c r="AJ78" s="13">
        <f t="shared" si="84"/>
        <v>4.571380640832075</v>
      </c>
      <c r="AK78" s="69">
        <f t="shared" si="85"/>
        <v>4.4036235530951178</v>
      </c>
      <c r="AL78" s="69">
        <f t="shared" si="86"/>
        <v>4.3197450092266392</v>
      </c>
      <c r="AM78" s="69">
        <f t="shared" si="87"/>
        <v>4.2358664653581615</v>
      </c>
      <c r="AN78" s="69">
        <f t="shared" si="88"/>
        <v>4.1100486495554431</v>
      </c>
      <c r="AO78" s="69">
        <f t="shared" si="89"/>
        <v>3.9422915618184868</v>
      </c>
      <c r="AP78" s="51">
        <f t="shared" si="90"/>
        <v>27.261827918434495</v>
      </c>
      <c r="AQ78" s="55"/>
      <c r="AR78" s="93" t="s">
        <v>8</v>
      </c>
      <c r="AS78" s="69">
        <f t="shared" si="91"/>
        <v>3.3551417547391376</v>
      </c>
      <c r="AT78" s="13">
        <f t="shared" si="92"/>
        <v>9.1427612816641499</v>
      </c>
      <c r="AU78" s="69">
        <f t="shared" si="93"/>
        <v>8.8072471061902355</v>
      </c>
      <c r="AV78" s="69">
        <f t="shared" si="94"/>
        <v>8.6394900184532784</v>
      </c>
      <c r="AW78" s="69">
        <f t="shared" si="95"/>
        <v>8.4717329307163229</v>
      </c>
      <c r="AX78" s="69">
        <f t="shared" si="96"/>
        <v>8.2200972991108863</v>
      </c>
      <c r="AY78" s="69">
        <f t="shared" si="97"/>
        <v>7.8845831236369737</v>
      </c>
      <c r="AZ78" s="51">
        <f t="shared" si="98"/>
        <v>54.52365583686899</v>
      </c>
      <c r="BA78" s="55"/>
      <c r="BB78" s="98" t="s">
        <v>8</v>
      </c>
      <c r="BC78" s="69">
        <f t="shared" si="99"/>
        <v>9.3481787706203328</v>
      </c>
      <c r="BD78" s="13">
        <f t="shared" si="100"/>
        <v>25.473787149940406</v>
      </c>
      <c r="BE78" s="69">
        <f t="shared" si="101"/>
        <v>24.538969272878372</v>
      </c>
      <c r="BF78" s="69">
        <f t="shared" si="102"/>
        <v>24.071560334347357</v>
      </c>
      <c r="BG78" s="69">
        <f t="shared" si="103"/>
        <v>23.604151395816341</v>
      </c>
      <c r="BH78" s="69">
        <f t="shared" si="104"/>
        <v>22.903037988019815</v>
      </c>
      <c r="BI78" s="69">
        <f t="shared" si="105"/>
        <v>21.96822011095778</v>
      </c>
      <c r="BJ78" s="51">
        <f t="shared" si="106"/>
        <v>151.91515567736633</v>
      </c>
      <c r="BK78" s="52"/>
    </row>
    <row r="79" spans="2:93" x14ac:dyDescent="0.35">
      <c r="B79" s="2" t="s">
        <v>9</v>
      </c>
      <c r="C79" s="75">
        <f t="shared" si="72"/>
        <v>11.248484848484848</v>
      </c>
      <c r="D79" s="13">
        <f t="shared" si="73"/>
        <v>30.652121212121212</v>
      </c>
      <c r="E79" s="69">
        <f t="shared" si="74"/>
        <v>29.527272727272727</v>
      </c>
      <c r="F79" s="69">
        <f t="shared" si="75"/>
        <v>28.964848484848481</v>
      </c>
      <c r="G79" s="69">
        <f t="shared" si="76"/>
        <v>28.402424242424242</v>
      </c>
      <c r="H79" s="69">
        <f t="shared" si="77"/>
        <v>27.558787878787879</v>
      </c>
      <c r="I79" s="14">
        <f t="shared" si="78"/>
        <v>26.433939393939394</v>
      </c>
      <c r="J79" s="55">
        <f t="shared" si="79"/>
        <v>180.6007959060484</v>
      </c>
      <c r="K79" s="55"/>
      <c r="L79" s="98" t="s">
        <v>9</v>
      </c>
      <c r="M79" s="69">
        <f t="shared" si="107"/>
        <v>0</v>
      </c>
      <c r="N79" s="13">
        <f t="shared" si="80"/>
        <v>12.27218357983428</v>
      </c>
      <c r="O79" s="69">
        <f t="shared" si="80"/>
        <v>49.547841372110994</v>
      </c>
      <c r="P79" s="69">
        <f t="shared" si="80"/>
        <v>69.376897459705773</v>
      </c>
      <c r="Q79" s="69">
        <f t="shared" si="80"/>
        <v>68.603928721619624</v>
      </c>
      <c r="R79" s="69">
        <f t="shared" si="80"/>
        <v>67.98538820199748</v>
      </c>
      <c r="S79" s="69">
        <f t="shared" si="80"/>
        <v>65.272164287843324</v>
      </c>
      <c r="T79" s="13">
        <f>SUM(Table19[[#This Row],[2026]:[2032]])</f>
        <v>333.05840362311147</v>
      </c>
      <c r="U79" s="52"/>
      <c r="V79" s="29">
        <f t="shared" si="81"/>
        <v>192.89307714165096</v>
      </c>
      <c r="W79" s="93" t="s">
        <v>9</v>
      </c>
      <c r="X79" s="29">
        <f t="shared" si="108"/>
        <v>30.557875943676905</v>
      </c>
      <c r="Y79" s="29">
        <f t="shared" si="82"/>
        <v>21.097813575963837</v>
      </c>
      <c r="Z79" s="29">
        <f t="shared" si="82"/>
        <v>0</v>
      </c>
      <c r="AA79" s="29">
        <f t="shared" si="82"/>
        <v>0</v>
      </c>
      <c r="AB79" s="29">
        <f t="shared" si="82"/>
        <v>-12.785439523294299</v>
      </c>
      <c r="AC79" s="29">
        <f t="shared" si="82"/>
        <v>-12.785439523294299</v>
      </c>
      <c r="AD79" s="29">
        <f t="shared" si="82"/>
        <v>-12.785439523294299</v>
      </c>
      <c r="AE79" s="51">
        <f>SUM(Table217[[#This Row],[2026]:[2032]])</f>
        <v>13.299370949757845</v>
      </c>
      <c r="AF79" s="55"/>
      <c r="AH79" s="93" t="s">
        <v>9</v>
      </c>
      <c r="AI79" s="69">
        <f t="shared" si="83"/>
        <v>4.2181818181818178</v>
      </c>
      <c r="AJ79" s="13">
        <f t="shared" si="84"/>
        <v>11.494545454545454</v>
      </c>
      <c r="AK79" s="69">
        <f t="shared" si="85"/>
        <v>11.072727272727274</v>
      </c>
      <c r="AL79" s="69">
        <f t="shared" si="86"/>
        <v>10.861818181818181</v>
      </c>
      <c r="AM79" s="69">
        <f t="shared" si="87"/>
        <v>10.65090909090909</v>
      </c>
      <c r="AN79" s="69">
        <f t="shared" si="88"/>
        <v>10.334545454545454</v>
      </c>
      <c r="AO79" s="69">
        <f t="shared" si="89"/>
        <v>9.9127272727272722</v>
      </c>
      <c r="AP79" s="51">
        <f t="shared" si="90"/>
        <v>67.725298464768144</v>
      </c>
      <c r="AQ79" s="55"/>
      <c r="AR79" s="93" t="s">
        <v>9</v>
      </c>
      <c r="AS79" s="69">
        <f t="shared" si="91"/>
        <v>8.4363636363636356</v>
      </c>
      <c r="AT79" s="13">
        <f t="shared" si="92"/>
        <v>22.989090909090908</v>
      </c>
      <c r="AU79" s="69">
        <f t="shared" si="93"/>
        <v>22.145454545454548</v>
      </c>
      <c r="AV79" s="69">
        <f t="shared" si="94"/>
        <v>21.723636363636363</v>
      </c>
      <c r="AW79" s="69">
        <f t="shared" si="95"/>
        <v>21.301818181818181</v>
      </c>
      <c r="AX79" s="69">
        <f t="shared" si="96"/>
        <v>20.669090909090908</v>
      </c>
      <c r="AY79" s="69">
        <f t="shared" si="97"/>
        <v>19.825454545454544</v>
      </c>
      <c r="AZ79" s="51">
        <f t="shared" si="98"/>
        <v>135.45059692953629</v>
      </c>
      <c r="BA79" s="55"/>
      <c r="BB79" s="98" t="s">
        <v>9</v>
      </c>
      <c r="BC79" s="69">
        <f t="shared" si="99"/>
        <v>17.455347239798087</v>
      </c>
      <c r="BD79" s="13">
        <f t="shared" si="100"/>
        <v>47.565821228449785</v>
      </c>
      <c r="BE79" s="69">
        <f t="shared" si="101"/>
        <v>45.820286504469983</v>
      </c>
      <c r="BF79" s="69">
        <f t="shared" si="102"/>
        <v>44.947519142480068</v>
      </c>
      <c r="BG79" s="69">
        <f t="shared" si="103"/>
        <v>44.074751780490168</v>
      </c>
      <c r="BH79" s="69">
        <f t="shared" si="104"/>
        <v>42.765600737505309</v>
      </c>
      <c r="BI79" s="69">
        <f t="shared" si="105"/>
        <v>41.020066013525501</v>
      </c>
      <c r="BJ79" s="51">
        <f t="shared" si="106"/>
        <v>280.25548745337102</v>
      </c>
      <c r="BK79" s="52"/>
    </row>
    <row r="80" spans="2:93" x14ac:dyDescent="0.35">
      <c r="B80" s="2" t="s">
        <v>10</v>
      </c>
      <c r="C80" s="75">
        <f t="shared" si="72"/>
        <v>8.4701403759219609</v>
      </c>
      <c r="D80" s="13">
        <f t="shared" si="73"/>
        <v>23.081132524387343</v>
      </c>
      <c r="E80" s="69">
        <f t="shared" si="74"/>
        <v>22.234118486795147</v>
      </c>
      <c r="F80" s="69">
        <f t="shared" si="75"/>
        <v>21.810611467999049</v>
      </c>
      <c r="G80" s="69">
        <f t="shared" si="76"/>
        <v>21.387104449202951</v>
      </c>
      <c r="H80" s="69">
        <f t="shared" si="77"/>
        <v>20.751843921008803</v>
      </c>
      <c r="I80" s="14">
        <f t="shared" si="78"/>
        <v>19.904829883416607</v>
      </c>
      <c r="J80" s="55">
        <f t="shared" si="79"/>
        <v>82.83564688214895</v>
      </c>
      <c r="K80" s="55"/>
      <c r="L80" s="98" t="s">
        <v>10</v>
      </c>
      <c r="M80" s="69">
        <f t="shared" si="107"/>
        <v>0</v>
      </c>
      <c r="N80" s="13">
        <f t="shared" si="80"/>
        <v>16.560938138524307</v>
      </c>
      <c r="O80" s="69">
        <f t="shared" si="80"/>
        <v>58.213488665787651</v>
      </c>
      <c r="P80" s="69">
        <f t="shared" si="80"/>
        <v>80.374164360290422</v>
      </c>
      <c r="Q80" s="69">
        <f t="shared" si="80"/>
        <v>79.456664034822722</v>
      </c>
      <c r="R80" s="69">
        <f t="shared" si="80"/>
        <v>78.68633825603834</v>
      </c>
      <c r="S80" s="69">
        <f t="shared" si="80"/>
        <v>75.543755359697116</v>
      </c>
      <c r="T80" s="13">
        <f>SUM(Table19[[#This Row],[2026]:[2032]])</f>
        <v>388.83534881516056</v>
      </c>
      <c r="U80" s="52"/>
      <c r="V80" s="29">
        <f t="shared" si="81"/>
        <v>192.89307714165096</v>
      </c>
      <c r="W80" s="93" t="s">
        <v>10</v>
      </c>
      <c r="X80" s="29">
        <f t="shared" si="108"/>
        <v>35.263192026950485</v>
      </c>
      <c r="Y80" s="29">
        <f t="shared" si="82"/>
        <v>20.819788982406667</v>
      </c>
      <c r="Z80" s="29">
        <f t="shared" si="82"/>
        <v>0</v>
      </c>
      <c r="AA80" s="29">
        <f t="shared" si="82"/>
        <v>0</v>
      </c>
      <c r="AB80" s="29">
        <f t="shared" si="82"/>
        <v>-14.32211767085478</v>
      </c>
      <c r="AC80" s="29">
        <f t="shared" si="82"/>
        <v>-14.32211767085478</v>
      </c>
      <c r="AD80" s="29">
        <f t="shared" si="82"/>
        <v>-14.32211767085478</v>
      </c>
      <c r="AE80" s="51">
        <f>SUM(Table217[[#This Row],[2026]:[2032]])</f>
        <v>13.116627996792815</v>
      </c>
      <c r="AF80" s="55"/>
      <c r="AH80" s="93" t="s">
        <v>10</v>
      </c>
      <c r="AI80" s="69">
        <f t="shared" si="83"/>
        <v>3.1763026409707353</v>
      </c>
      <c r="AJ80" s="13">
        <f t="shared" si="84"/>
        <v>8.6554246966452517</v>
      </c>
      <c r="AK80" s="69">
        <f t="shared" si="85"/>
        <v>8.3377944325481792</v>
      </c>
      <c r="AL80" s="69">
        <f t="shared" si="86"/>
        <v>8.1789793004996429</v>
      </c>
      <c r="AM80" s="69">
        <f t="shared" si="87"/>
        <v>8.0201641684511067</v>
      </c>
      <c r="AN80" s="69">
        <f t="shared" si="88"/>
        <v>7.7819414703783014</v>
      </c>
      <c r="AO80" s="69">
        <f t="shared" si="89"/>
        <v>7.4643112062812271</v>
      </c>
      <c r="AP80" s="51">
        <f t="shared" si="90"/>
        <v>31.06336758080586</v>
      </c>
      <c r="AQ80" s="55"/>
      <c r="AR80" s="93" t="s">
        <v>10</v>
      </c>
      <c r="AS80" s="69">
        <f t="shared" si="91"/>
        <v>6.3526052819414707</v>
      </c>
      <c r="AT80" s="13">
        <f t="shared" si="92"/>
        <v>17.310849393290503</v>
      </c>
      <c r="AU80" s="69">
        <f t="shared" si="93"/>
        <v>16.675588865096358</v>
      </c>
      <c r="AV80" s="69">
        <f t="shared" si="94"/>
        <v>16.357958600999286</v>
      </c>
      <c r="AW80" s="69">
        <f t="shared" si="95"/>
        <v>16.040328336902213</v>
      </c>
      <c r="AX80" s="69">
        <f t="shared" si="96"/>
        <v>15.563882940756603</v>
      </c>
      <c r="AY80" s="69">
        <f t="shared" si="97"/>
        <v>14.928622412562454</v>
      </c>
      <c r="AZ80" s="51">
        <f t="shared" si="98"/>
        <v>62.12673516161172</v>
      </c>
      <c r="BA80" s="55"/>
      <c r="BB80" s="98" t="s">
        <v>10</v>
      </c>
      <c r="BC80" s="69">
        <f t="shared" si="99"/>
        <v>20.099294584869511</v>
      </c>
      <c r="BD80" s="13">
        <f t="shared" si="100"/>
        <v>54.770577743769408</v>
      </c>
      <c r="BE80" s="69">
        <f t="shared" si="101"/>
        <v>52.760648285282464</v>
      </c>
      <c r="BF80" s="69">
        <f t="shared" si="102"/>
        <v>51.755683556038989</v>
      </c>
      <c r="BG80" s="69">
        <f t="shared" si="103"/>
        <v>50.750718826795513</v>
      </c>
      <c r="BH80" s="69">
        <f t="shared" si="104"/>
        <v>49.243271732930296</v>
      </c>
      <c r="BI80" s="69">
        <f t="shared" si="105"/>
        <v>47.233342274443345</v>
      </c>
      <c r="BJ80" s="51">
        <f t="shared" si="106"/>
        <v>196.5655815510984</v>
      </c>
      <c r="BK80" s="52"/>
    </row>
    <row r="81" spans="2:63" x14ac:dyDescent="0.35">
      <c r="B81" s="2" t="s">
        <v>11</v>
      </c>
      <c r="C81" s="75">
        <f t="shared" si="72"/>
        <v>8.7166080009347588</v>
      </c>
      <c r="D81" s="13">
        <f t="shared" si="73"/>
        <v>23.752756802547214</v>
      </c>
      <c r="E81" s="69">
        <f t="shared" si="74"/>
        <v>22.881096002453738</v>
      </c>
      <c r="F81" s="69">
        <f t="shared" si="75"/>
        <v>22.445265602406998</v>
      </c>
      <c r="G81" s="69">
        <f t="shared" si="76"/>
        <v>22.009435202360262</v>
      </c>
      <c r="H81" s="69">
        <f t="shared" si="77"/>
        <v>21.355689602290152</v>
      </c>
      <c r="I81" s="14">
        <f t="shared" si="78"/>
        <v>20.484028802196676</v>
      </c>
      <c r="J81" s="55">
        <f t="shared" si="79"/>
        <v>141.70963524285074</v>
      </c>
      <c r="K81" s="55"/>
      <c r="L81" s="98" t="s">
        <v>11</v>
      </c>
      <c r="M81" s="69">
        <f t="shared" si="107"/>
        <v>0</v>
      </c>
      <c r="N81" s="13">
        <f t="shared" si="80"/>
        <v>18.350053879877038</v>
      </c>
      <c r="O81" s="69">
        <f t="shared" si="80"/>
        <v>63.640477173732101</v>
      </c>
      <c r="P81" s="69">
        <f t="shared" si="80"/>
        <v>87.737030941201425</v>
      </c>
      <c r="Q81" s="69">
        <f t="shared" si="80"/>
        <v>86.732926654180105</v>
      </c>
      <c r="R81" s="69">
        <f t="shared" si="80"/>
        <v>85.885795829687609</v>
      </c>
      <c r="S81" s="69">
        <f t="shared" si="80"/>
        <v>82.455413562557069</v>
      </c>
      <c r="T81" s="13">
        <f>SUM(Table19[[#This Row],[2026]:[2032]])</f>
        <v>424.80169804123534</v>
      </c>
      <c r="U81" s="52"/>
      <c r="V81" s="29">
        <f t="shared" si="81"/>
        <v>192.89307714165096</v>
      </c>
      <c r="W81" s="93" t="s">
        <v>11</v>
      </c>
      <c r="X81" s="29">
        <f t="shared" si="108"/>
        <v>38.477477383248782</v>
      </c>
      <c r="Y81" s="29">
        <f t="shared" si="82"/>
        <v>22.306575503605437</v>
      </c>
      <c r="Z81" s="29">
        <f t="shared" si="82"/>
        <v>0</v>
      </c>
      <c r="AA81" s="29">
        <f t="shared" si="82"/>
        <v>0</v>
      </c>
      <c r="AB81" s="29">
        <f t="shared" si="82"/>
        <v>-15.577252637349607</v>
      </c>
      <c r="AC81" s="29">
        <f t="shared" si="82"/>
        <v>-15.577252637349607</v>
      </c>
      <c r="AD81" s="29">
        <f t="shared" si="82"/>
        <v>-15.577252637349607</v>
      </c>
      <c r="AE81" s="51">
        <f>SUM(Table217[[#This Row],[2026]:[2032]])</f>
        <v>14.052294974805394</v>
      </c>
      <c r="AF81" s="55"/>
      <c r="AH81" s="93" t="s">
        <v>11</v>
      </c>
      <c r="AI81" s="69">
        <f t="shared" si="83"/>
        <v>3.2687280003505341</v>
      </c>
      <c r="AJ81" s="13">
        <f t="shared" si="84"/>
        <v>8.9072838009552058</v>
      </c>
      <c r="AK81" s="69">
        <f t="shared" si="85"/>
        <v>8.5804110009201526</v>
      </c>
      <c r="AL81" s="69">
        <f t="shared" si="86"/>
        <v>8.4169746009026252</v>
      </c>
      <c r="AM81" s="69">
        <f t="shared" si="87"/>
        <v>8.2535382008850977</v>
      </c>
      <c r="AN81" s="69">
        <f t="shared" si="88"/>
        <v>8.0083836008588065</v>
      </c>
      <c r="AO81" s="69">
        <f t="shared" si="89"/>
        <v>7.6815108008237543</v>
      </c>
      <c r="AP81" s="51">
        <f t="shared" si="90"/>
        <v>53.141113216069023</v>
      </c>
      <c r="AQ81" s="55"/>
      <c r="AR81" s="93" t="s">
        <v>11</v>
      </c>
      <c r="AS81" s="69">
        <f t="shared" si="91"/>
        <v>6.5374560007010682</v>
      </c>
      <c r="AT81" s="13">
        <f t="shared" si="92"/>
        <v>17.814567601910412</v>
      </c>
      <c r="AU81" s="69">
        <f t="shared" si="93"/>
        <v>17.160822001840305</v>
      </c>
      <c r="AV81" s="69">
        <f t="shared" si="94"/>
        <v>16.83394920180525</v>
      </c>
      <c r="AW81" s="69">
        <f t="shared" si="95"/>
        <v>16.507076401770195</v>
      </c>
      <c r="AX81" s="69">
        <f t="shared" si="96"/>
        <v>16.016767201717613</v>
      </c>
      <c r="AY81" s="69">
        <f t="shared" si="97"/>
        <v>15.363021601647509</v>
      </c>
      <c r="AZ81" s="51">
        <f t="shared" si="98"/>
        <v>106.28222643213805</v>
      </c>
      <c r="BA81" s="55"/>
      <c r="BB81" s="98" t="s">
        <v>11</v>
      </c>
      <c r="BC81" s="69">
        <f t="shared" si="99"/>
        <v>16.035077747884749</v>
      </c>
      <c r="BD81" s="13">
        <f t="shared" si="100"/>
        <v>43.695586862985934</v>
      </c>
      <c r="BE81" s="69">
        <f t="shared" si="101"/>
        <v>42.092079088197465</v>
      </c>
      <c r="BF81" s="69">
        <f t="shared" si="102"/>
        <v>41.290325200803224</v>
      </c>
      <c r="BG81" s="69">
        <f t="shared" si="103"/>
        <v>40.48857131340899</v>
      </c>
      <c r="BH81" s="69">
        <f t="shared" si="104"/>
        <v>39.285940482317628</v>
      </c>
      <c r="BI81" s="69">
        <f t="shared" si="105"/>
        <v>37.682432707529152</v>
      </c>
      <c r="BJ81" s="51">
        <f t="shared" si="106"/>
        <v>260.68913716204958</v>
      </c>
      <c r="BK81" s="52"/>
    </row>
    <row r="82" spans="2:63" x14ac:dyDescent="0.35">
      <c r="B82" s="2" t="s">
        <v>12</v>
      </c>
      <c r="C82" s="75">
        <f t="shared" si="72"/>
        <v>5.2275051124744376</v>
      </c>
      <c r="D82" s="13">
        <f t="shared" si="73"/>
        <v>14.244951431492842</v>
      </c>
      <c r="E82" s="69">
        <f t="shared" si="74"/>
        <v>13.722200920245399</v>
      </c>
      <c r="F82" s="69">
        <f t="shared" si="75"/>
        <v>13.460825664621675</v>
      </c>
      <c r="G82" s="69">
        <f t="shared" si="76"/>
        <v>13.199450408997954</v>
      </c>
      <c r="H82" s="69">
        <f t="shared" si="77"/>
        <v>12.807387525562371</v>
      </c>
      <c r="I82" s="14">
        <f t="shared" si="78"/>
        <v>12.284637014314928</v>
      </c>
      <c r="J82" s="55">
        <f t="shared" si="79"/>
        <v>84.965715724352791</v>
      </c>
      <c r="K82" s="55"/>
      <c r="L82" s="98" t="s">
        <v>12</v>
      </c>
      <c r="M82" s="69">
        <f t="shared" si="107"/>
        <v>0</v>
      </c>
      <c r="N82" s="13">
        <f t="shared" si="80"/>
        <v>26.732001031292015</v>
      </c>
      <c r="O82" s="69">
        <f t="shared" si="80"/>
        <v>83.078869075863366</v>
      </c>
      <c r="P82" s="69">
        <f t="shared" si="80"/>
        <v>113.06247328714691</v>
      </c>
      <c r="Q82" s="69">
        <f t="shared" si="80"/>
        <v>111.73956314087376</v>
      </c>
      <c r="R82" s="69">
        <f t="shared" si="80"/>
        <v>110.5771602203282</v>
      </c>
      <c r="S82" s="69">
        <f t="shared" si="80"/>
        <v>106.15754973292158</v>
      </c>
      <c r="T82" s="13">
        <f>SUM(Table19[[#This Row],[2026]:[2032]])</f>
        <v>551.34761648842584</v>
      </c>
      <c r="U82" s="52"/>
      <c r="V82" s="29">
        <f t="shared" si="81"/>
        <v>192.89307714165096</v>
      </c>
      <c r="W82" s="93" t="s">
        <v>12</v>
      </c>
      <c r="X82" s="29">
        <f t="shared" si="108"/>
        <v>49.401648923121797</v>
      </c>
      <c r="Y82" s="29">
        <f t="shared" si="82"/>
        <v>23.976524169948391</v>
      </c>
      <c r="Z82" s="29">
        <f t="shared" si="82"/>
        <v>0</v>
      </c>
      <c r="AA82" s="29">
        <f t="shared" si="82"/>
        <v>0</v>
      </c>
      <c r="AB82" s="29">
        <f t="shared" si="82"/>
        <v>-19.428553716950347</v>
      </c>
      <c r="AC82" s="29">
        <f t="shared" si="82"/>
        <v>-19.428553716950347</v>
      </c>
      <c r="AD82" s="29">
        <f t="shared" si="82"/>
        <v>-19.428553716950347</v>
      </c>
      <c r="AE82" s="51">
        <f>SUM(Table217[[#This Row],[2026]:[2032]])</f>
        <v>15.092511942219147</v>
      </c>
      <c r="AF82" s="55"/>
      <c r="AH82" s="93" t="s">
        <v>12</v>
      </c>
      <c r="AI82" s="69">
        <f t="shared" si="83"/>
        <v>1.9603144171779139</v>
      </c>
      <c r="AJ82" s="13">
        <f t="shared" si="84"/>
        <v>5.3418567868098155</v>
      </c>
      <c r="AK82" s="69">
        <f t="shared" si="85"/>
        <v>5.1458253450920246</v>
      </c>
      <c r="AL82" s="69">
        <f t="shared" si="86"/>
        <v>5.0478096242331283</v>
      </c>
      <c r="AM82" s="69">
        <f t="shared" si="87"/>
        <v>4.9497939033742329</v>
      </c>
      <c r="AN82" s="69">
        <f t="shared" si="88"/>
        <v>4.8027703220858884</v>
      </c>
      <c r="AO82" s="69">
        <f t="shared" si="89"/>
        <v>4.6067388803680984</v>
      </c>
      <c r="AP82" s="51">
        <f t="shared" si="90"/>
        <v>31.862143396632298</v>
      </c>
      <c r="AQ82" s="55"/>
      <c r="AR82" s="93" t="s">
        <v>12</v>
      </c>
      <c r="AS82" s="69">
        <f t="shared" si="91"/>
        <v>3.9206288343558278</v>
      </c>
      <c r="AT82" s="13">
        <f t="shared" si="92"/>
        <v>10.683713573619631</v>
      </c>
      <c r="AU82" s="69">
        <f t="shared" si="93"/>
        <v>10.291650690184049</v>
      </c>
      <c r="AV82" s="69">
        <f t="shared" si="94"/>
        <v>10.095619248466257</v>
      </c>
      <c r="AW82" s="69">
        <f t="shared" si="95"/>
        <v>9.8995878067484657</v>
      </c>
      <c r="AX82" s="69">
        <f t="shared" si="96"/>
        <v>9.6055406441717768</v>
      </c>
      <c r="AY82" s="69">
        <f t="shared" si="97"/>
        <v>9.2134777607361968</v>
      </c>
      <c r="AZ82" s="51">
        <f t="shared" si="98"/>
        <v>63.724286793264596</v>
      </c>
      <c r="BA82" s="55"/>
      <c r="BB82" s="98" t="s">
        <v>12</v>
      </c>
      <c r="BC82" s="69">
        <f t="shared" si="99"/>
        <v>9.1928184685852141</v>
      </c>
      <c r="BD82" s="13">
        <f t="shared" si="100"/>
        <v>25.050430326894709</v>
      </c>
      <c r="BE82" s="69">
        <f t="shared" si="101"/>
        <v>24.131148480036192</v>
      </c>
      <c r="BF82" s="69">
        <f t="shared" si="102"/>
        <v>23.671507556606926</v>
      </c>
      <c r="BG82" s="69">
        <f t="shared" si="103"/>
        <v>23.211866633177667</v>
      </c>
      <c r="BH82" s="69">
        <f t="shared" si="104"/>
        <v>22.522405248033774</v>
      </c>
      <c r="BI82" s="69">
        <f t="shared" si="105"/>
        <v>21.603123401175257</v>
      </c>
      <c r="BJ82" s="51">
        <f t="shared" si="106"/>
        <v>149.41628633581007</v>
      </c>
      <c r="BK82" s="52"/>
    </row>
    <row r="83" spans="2:63" x14ac:dyDescent="0.35">
      <c r="B83" s="2" t="s">
        <v>13</v>
      </c>
      <c r="C83" s="75">
        <f t="shared" si="72"/>
        <v>28.304970675896548</v>
      </c>
      <c r="D83" s="13">
        <f t="shared" si="73"/>
        <v>77.131045091818081</v>
      </c>
      <c r="E83" s="69">
        <f t="shared" si="74"/>
        <v>74.300548024228448</v>
      </c>
      <c r="F83" s="69">
        <f t="shared" si="75"/>
        <v>72.88529949043361</v>
      </c>
      <c r="G83" s="69">
        <f t="shared" si="76"/>
        <v>71.470050956638786</v>
      </c>
      <c r="H83" s="69">
        <f t="shared" si="77"/>
        <v>69.347178155946551</v>
      </c>
      <c r="I83" s="14">
        <f t="shared" si="78"/>
        <v>66.51668108835689</v>
      </c>
      <c r="J83" s="55">
        <f t="shared" si="79"/>
        <v>459.8075323701903</v>
      </c>
      <c r="K83" s="55"/>
      <c r="L83" s="98" t="s">
        <v>13</v>
      </c>
      <c r="M83" s="69">
        <f t="shared" si="107"/>
        <v>0</v>
      </c>
      <c r="N83" s="13">
        <f t="shared" si="80"/>
        <v>0</v>
      </c>
      <c r="O83" s="69">
        <f t="shared" si="80"/>
        <v>28.79689275002313</v>
      </c>
      <c r="P83" s="69">
        <f t="shared" si="80"/>
        <v>45.533761586034466</v>
      </c>
      <c r="Q83" s="69">
        <f t="shared" si="80"/>
        <v>45.127374328038442</v>
      </c>
      <c r="R83" s="69">
        <f t="shared" si="80"/>
        <v>44.967894976721972</v>
      </c>
      <c r="S83" s="69">
        <f t="shared" si="80"/>
        <v>43.183803781388768</v>
      </c>
      <c r="T83" s="13">
        <f>SUM(Table19[[#This Row],[2026]:[2032]])</f>
        <v>207.60972742220679</v>
      </c>
      <c r="U83" s="52"/>
      <c r="V83" s="29">
        <f t="shared" si="81"/>
        <v>192.89307714165096</v>
      </c>
      <c r="W83" s="93" t="s">
        <v>13</v>
      </c>
      <c r="X83" s="29">
        <f t="shared" si="108"/>
        <v>20.691436087778193</v>
      </c>
      <c r="Y83" s="29">
        <f t="shared" si="82"/>
        <v>27.767678756752332</v>
      </c>
      <c r="Z83" s="29">
        <f t="shared" si="82"/>
        <v>0</v>
      </c>
      <c r="AA83" s="29">
        <f t="shared" si="82"/>
        <v>0</v>
      </c>
      <c r="AB83" s="29">
        <f t="shared" si="82"/>
        <v>-10.638957378066026</v>
      </c>
      <c r="AC83" s="29">
        <f t="shared" si="82"/>
        <v>-10.638957378066026</v>
      </c>
      <c r="AD83" s="29">
        <f t="shared" si="82"/>
        <v>-10.638957378066026</v>
      </c>
      <c r="AE83" s="51">
        <f>SUM(Table217[[#This Row],[2026]:[2032]])</f>
        <v>16.542242710332452</v>
      </c>
      <c r="AF83" s="55"/>
      <c r="AH83" s="93" t="s">
        <v>13</v>
      </c>
      <c r="AI83" s="69">
        <f t="shared" si="83"/>
        <v>10.614364003461205</v>
      </c>
      <c r="AJ83" s="13">
        <f t="shared" si="84"/>
        <v>28.924141909431782</v>
      </c>
      <c r="AK83" s="69">
        <f t="shared" si="85"/>
        <v>27.862705509085668</v>
      </c>
      <c r="AL83" s="69">
        <f t="shared" si="86"/>
        <v>27.331987308912602</v>
      </c>
      <c r="AM83" s="69">
        <f t="shared" si="87"/>
        <v>26.801269108739543</v>
      </c>
      <c r="AN83" s="69">
        <f t="shared" si="88"/>
        <v>26.005191808479957</v>
      </c>
      <c r="AO83" s="69">
        <f t="shared" si="89"/>
        <v>24.943755408133832</v>
      </c>
      <c r="AP83" s="51">
        <f t="shared" si="90"/>
        <v>172.42782463882136</v>
      </c>
      <c r="AQ83" s="55"/>
      <c r="AR83" s="93" t="s">
        <v>13</v>
      </c>
      <c r="AS83" s="69">
        <f t="shared" si="91"/>
        <v>21.22872800692241</v>
      </c>
      <c r="AT83" s="13">
        <f t="shared" si="92"/>
        <v>57.848283818863564</v>
      </c>
      <c r="AU83" s="69">
        <f t="shared" si="93"/>
        <v>55.725411018171336</v>
      </c>
      <c r="AV83" s="69">
        <f t="shared" si="94"/>
        <v>54.663974617825204</v>
      </c>
      <c r="AW83" s="69">
        <f t="shared" si="95"/>
        <v>53.602538217479086</v>
      </c>
      <c r="AX83" s="69">
        <f t="shared" si="96"/>
        <v>52.010383616959913</v>
      </c>
      <c r="AY83" s="69">
        <f t="shared" si="97"/>
        <v>49.887510816267664</v>
      </c>
      <c r="AZ83" s="51">
        <f t="shared" si="98"/>
        <v>344.85564927764273</v>
      </c>
      <c r="BA83" s="55"/>
      <c r="BB83" s="98" t="s">
        <v>13</v>
      </c>
      <c r="BC83" s="69">
        <f t="shared" si="99"/>
        <v>40.736960298785753</v>
      </c>
      <c r="BD83" s="13">
        <f t="shared" si="100"/>
        <v>111.00821681419119</v>
      </c>
      <c r="BE83" s="69">
        <f t="shared" si="101"/>
        <v>106.93452078431262</v>
      </c>
      <c r="BF83" s="69">
        <f t="shared" si="102"/>
        <v>104.89767276937332</v>
      </c>
      <c r="BG83" s="69">
        <f t="shared" si="103"/>
        <v>102.86082475443403</v>
      </c>
      <c r="BH83" s="69">
        <f t="shared" si="104"/>
        <v>99.80555273202512</v>
      </c>
      <c r="BI83" s="69">
        <f t="shared" si="105"/>
        <v>95.73185670214653</v>
      </c>
      <c r="BJ83" s="51">
        <f t="shared" si="106"/>
        <v>661.76225390679679</v>
      </c>
      <c r="BK83" s="52"/>
    </row>
    <row r="84" spans="2:63" x14ac:dyDescent="0.35">
      <c r="B84" s="2" t="s">
        <v>14</v>
      </c>
      <c r="C84" s="75">
        <f t="shared" si="72"/>
        <v>24.093201182403057</v>
      </c>
      <c r="D84" s="13">
        <f t="shared" si="73"/>
        <v>65.653973222048336</v>
      </c>
      <c r="E84" s="69">
        <f t="shared" si="74"/>
        <v>63.24465310380802</v>
      </c>
      <c r="F84" s="69">
        <f t="shared" si="75"/>
        <v>62.039993044687876</v>
      </c>
      <c r="G84" s="69">
        <f t="shared" si="76"/>
        <v>60.835332985567725</v>
      </c>
      <c r="H84" s="69">
        <f t="shared" si="77"/>
        <v>59.028342896887487</v>
      </c>
      <c r="I84" s="14">
        <f t="shared" si="78"/>
        <v>56.619022778647178</v>
      </c>
      <c r="J84" s="55">
        <f t="shared" si="79"/>
        <v>391.71875140059785</v>
      </c>
      <c r="K84" s="55"/>
      <c r="L84" s="98" t="s">
        <v>14</v>
      </c>
      <c r="M84" s="69">
        <f t="shared" si="107"/>
        <v>0</v>
      </c>
      <c r="N84" s="13">
        <f t="shared" si="80"/>
        <v>4.059998439954148</v>
      </c>
      <c r="O84" s="69">
        <f t="shared" si="80"/>
        <v>42.655674441371168</v>
      </c>
      <c r="P84" s="69">
        <f t="shared" si="80"/>
        <v>63.176904386332716</v>
      </c>
      <c r="Q84" s="69">
        <f t="shared" si="80"/>
        <v>62.539826841499782</v>
      </c>
      <c r="R84" s="69">
        <f t="shared" si="80"/>
        <v>62.139728486606643</v>
      </c>
      <c r="S84" s="69">
        <f t="shared" si="80"/>
        <v>59.666768639036555</v>
      </c>
      <c r="T84" s="13">
        <f>SUM(Table19[[#This Row],[2026]:[2032]])</f>
        <v>294.23890123480101</v>
      </c>
      <c r="U84" s="52"/>
      <c r="V84" s="29">
        <f t="shared" si="81"/>
        <v>192.89307714165096</v>
      </c>
      <c r="W84" s="93" t="s">
        <v>14</v>
      </c>
      <c r="X84" s="29">
        <f t="shared" si="108"/>
        <v>28.247732126214014</v>
      </c>
      <c r="Y84" s="29">
        <f t="shared" si="82"/>
        <v>30.211033981860634</v>
      </c>
      <c r="Z84" s="29">
        <f t="shared" si="82"/>
        <v>0</v>
      </c>
      <c r="AA84" s="29">
        <f t="shared" si="82"/>
        <v>0</v>
      </c>
      <c r="AB84" s="29">
        <f t="shared" si="82"/>
        <v>-13.130663763147425</v>
      </c>
      <c r="AC84" s="29">
        <f t="shared" si="82"/>
        <v>-13.130663763147425</v>
      </c>
      <c r="AD84" s="29">
        <f t="shared" si="82"/>
        <v>-13.130663763147425</v>
      </c>
      <c r="AE84" s="51">
        <f>SUM(Table217[[#This Row],[2026]:[2032]])</f>
        <v>19.066774818632375</v>
      </c>
      <c r="AF84" s="55"/>
      <c r="AH84" s="93" t="s">
        <v>14</v>
      </c>
      <c r="AI84" s="69">
        <f t="shared" si="83"/>
        <v>9.0349504434011454</v>
      </c>
      <c r="AJ84" s="13">
        <f t="shared" si="84"/>
        <v>24.620239958268122</v>
      </c>
      <c r="AK84" s="69">
        <f t="shared" si="85"/>
        <v>23.716744913928011</v>
      </c>
      <c r="AL84" s="69">
        <f t="shared" si="86"/>
        <v>23.264997391757955</v>
      </c>
      <c r="AM84" s="69">
        <f t="shared" si="87"/>
        <v>22.813249869587899</v>
      </c>
      <c r="AN84" s="69">
        <f t="shared" si="88"/>
        <v>22.135628586332807</v>
      </c>
      <c r="AO84" s="69">
        <f t="shared" si="89"/>
        <v>21.232133541992695</v>
      </c>
      <c r="AP84" s="51">
        <f t="shared" si="90"/>
        <v>146.89453177522421</v>
      </c>
      <c r="AQ84" s="55"/>
      <c r="AR84" s="93" t="s">
        <v>14</v>
      </c>
      <c r="AS84" s="69">
        <f t="shared" si="91"/>
        <v>18.069900886802291</v>
      </c>
      <c r="AT84" s="13">
        <f t="shared" si="92"/>
        <v>49.240479916536245</v>
      </c>
      <c r="AU84" s="69">
        <f t="shared" si="93"/>
        <v>47.433489827856022</v>
      </c>
      <c r="AV84" s="69">
        <f t="shared" si="94"/>
        <v>46.52999478351591</v>
      </c>
      <c r="AW84" s="69">
        <f t="shared" si="95"/>
        <v>45.626499739175799</v>
      </c>
      <c r="AX84" s="69">
        <f t="shared" si="96"/>
        <v>44.271257172665614</v>
      </c>
      <c r="AY84" s="69">
        <f t="shared" si="97"/>
        <v>42.464267083985391</v>
      </c>
      <c r="AZ84" s="51">
        <f t="shared" si="98"/>
        <v>293.78906355044842</v>
      </c>
      <c r="BA84" s="55"/>
      <c r="BB84" s="98" t="s">
        <v>14</v>
      </c>
      <c r="BC84" s="69">
        <f t="shared" si="99"/>
        <v>45.805697260593547</v>
      </c>
      <c r="BD84" s="13">
        <f t="shared" si="100"/>
        <v>124.82052503511741</v>
      </c>
      <c r="BE84" s="69">
        <f t="shared" si="101"/>
        <v>120.23995530905806</v>
      </c>
      <c r="BF84" s="69">
        <f t="shared" si="102"/>
        <v>117.94967044602839</v>
      </c>
      <c r="BG84" s="69">
        <f t="shared" si="103"/>
        <v>115.65938558299872</v>
      </c>
      <c r="BH84" s="69">
        <f t="shared" si="104"/>
        <v>112.22395828845418</v>
      </c>
      <c r="BI84" s="69">
        <f t="shared" si="105"/>
        <v>107.64338856239483</v>
      </c>
      <c r="BJ84" s="51">
        <f t="shared" si="106"/>
        <v>744.73086420157722</v>
      </c>
      <c r="BK84" s="52"/>
    </row>
    <row r="85" spans="2:63" x14ac:dyDescent="0.35">
      <c r="B85" s="2" t="s">
        <v>15</v>
      </c>
      <c r="C85" s="75">
        <f t="shared" si="72"/>
        <v>10.164424514200299</v>
      </c>
      <c r="D85" s="13">
        <f t="shared" si="73"/>
        <v>27.698056801195815</v>
      </c>
      <c r="E85" s="69">
        <f t="shared" si="74"/>
        <v>26.681614349775785</v>
      </c>
      <c r="F85" s="69">
        <f t="shared" si="75"/>
        <v>26.173393124065772</v>
      </c>
      <c r="G85" s="69">
        <f t="shared" si="76"/>
        <v>25.665171898355755</v>
      </c>
      <c r="H85" s="69">
        <f t="shared" si="77"/>
        <v>24.90284005979073</v>
      </c>
      <c r="I85" s="14">
        <f t="shared" si="78"/>
        <v>23.886397608370704</v>
      </c>
      <c r="J85" s="55">
        <f t="shared" si="79"/>
        <v>165.28156831995597</v>
      </c>
      <c r="K85" s="55"/>
      <c r="L85" s="98" t="s">
        <v>15</v>
      </c>
      <c r="M85" s="69">
        <f t="shared" si="107"/>
        <v>0</v>
      </c>
      <c r="N85" s="13">
        <f t="shared" si="80"/>
        <v>23.656580900186185</v>
      </c>
      <c r="O85" s="69">
        <f t="shared" si="80"/>
        <v>80.661056365108237</v>
      </c>
      <c r="P85" s="69">
        <f t="shared" si="80"/>
        <v>110.99066511261138</v>
      </c>
      <c r="Q85" s="69">
        <f t="shared" si="80"/>
        <v>109.71627481808511</v>
      </c>
      <c r="R85" s="69">
        <f t="shared" si="80"/>
        <v>108.63446222833534</v>
      </c>
      <c r="S85" s="69">
        <f t="shared" si="80"/>
        <v>104.29503631291819</v>
      </c>
      <c r="T85" s="13">
        <f>SUM(Table19[[#This Row],[2026]:[2032]])</f>
        <v>537.95407573724447</v>
      </c>
      <c r="U85" s="52"/>
      <c r="V85" s="29">
        <f t="shared" si="81"/>
        <v>192.89307714165096</v>
      </c>
      <c r="W85" s="93" t="s">
        <v>15</v>
      </c>
      <c r="X85" s="29">
        <f t="shared" si="108"/>
        <v>48.649267976317148</v>
      </c>
      <c r="Y85" s="29">
        <f t="shared" si="82"/>
        <v>27.533793204681039</v>
      </c>
      <c r="Z85" s="29">
        <f t="shared" si="82"/>
        <v>0</v>
      </c>
      <c r="AA85" s="29">
        <f t="shared" si="82"/>
        <v>0</v>
      </c>
      <c r="AB85" s="29">
        <f t="shared" si="82"/>
        <v>-19.613170155121541</v>
      </c>
      <c r="AC85" s="29">
        <f t="shared" si="82"/>
        <v>-19.613170155121541</v>
      </c>
      <c r="AD85" s="29">
        <f t="shared" si="82"/>
        <v>-19.613170155121541</v>
      </c>
      <c r="AE85" s="51">
        <f>SUM(Table217[[#This Row],[2026]:[2032]])</f>
        <v>17.343550715633565</v>
      </c>
      <c r="AF85" s="55"/>
      <c r="AH85" s="93" t="s">
        <v>15</v>
      </c>
      <c r="AI85" s="69">
        <f t="shared" si="83"/>
        <v>3.8116591928251125</v>
      </c>
      <c r="AJ85" s="13">
        <f t="shared" si="84"/>
        <v>10.38677130044843</v>
      </c>
      <c r="AK85" s="69">
        <f t="shared" si="85"/>
        <v>10.005605381165919</v>
      </c>
      <c r="AL85" s="69">
        <f t="shared" si="86"/>
        <v>9.8150224215246631</v>
      </c>
      <c r="AM85" s="69">
        <f t="shared" si="87"/>
        <v>9.6244394618834086</v>
      </c>
      <c r="AN85" s="69">
        <f t="shared" si="88"/>
        <v>9.3385650224215251</v>
      </c>
      <c r="AO85" s="69">
        <f t="shared" si="89"/>
        <v>8.9573991031390143</v>
      </c>
      <c r="AP85" s="51">
        <f t="shared" si="90"/>
        <v>61.980588119983487</v>
      </c>
      <c r="AQ85" s="55"/>
      <c r="AR85" s="93" t="s">
        <v>15</v>
      </c>
      <c r="AS85" s="69">
        <f t="shared" si="91"/>
        <v>7.6233183856502249</v>
      </c>
      <c r="AT85" s="13">
        <f t="shared" si="92"/>
        <v>20.77354260089686</v>
      </c>
      <c r="AU85" s="69">
        <f t="shared" si="93"/>
        <v>20.011210762331839</v>
      </c>
      <c r="AV85" s="69">
        <f t="shared" si="94"/>
        <v>19.630044843049326</v>
      </c>
      <c r="AW85" s="69">
        <f t="shared" si="95"/>
        <v>19.248878923766817</v>
      </c>
      <c r="AX85" s="69">
        <f t="shared" si="96"/>
        <v>18.67713004484305</v>
      </c>
      <c r="AY85" s="69">
        <f t="shared" si="97"/>
        <v>17.914798206278029</v>
      </c>
      <c r="AZ85" s="51">
        <f t="shared" si="98"/>
        <v>123.96117623996697</v>
      </c>
      <c r="BA85" s="55"/>
      <c r="BB85" s="98" t="s">
        <v>15</v>
      </c>
      <c r="BC85" s="69">
        <f t="shared" si="99"/>
        <v>19.858469365561557</v>
      </c>
      <c r="BD85" s="13">
        <f t="shared" si="100"/>
        <v>54.114329021155243</v>
      </c>
      <c r="BE85" s="69">
        <f t="shared" si="101"/>
        <v>52.128482084599085</v>
      </c>
      <c r="BF85" s="69">
        <f t="shared" si="102"/>
        <v>51.135558616321006</v>
      </c>
      <c r="BG85" s="69">
        <f t="shared" si="103"/>
        <v>50.142635148042935</v>
      </c>
      <c r="BH85" s="69">
        <f t="shared" si="104"/>
        <v>48.653249945625817</v>
      </c>
      <c r="BI85" s="69">
        <f t="shared" si="105"/>
        <v>46.667403009069659</v>
      </c>
      <c r="BJ85" s="51">
        <f t="shared" si="106"/>
        <v>322.91439191548267</v>
      </c>
      <c r="BK85" s="52"/>
    </row>
    <row r="86" spans="2:63" x14ac:dyDescent="0.35">
      <c r="B86" s="2" t="s">
        <v>16</v>
      </c>
      <c r="C86" s="75">
        <f t="shared" si="72"/>
        <v>9.7765568386721178</v>
      </c>
      <c r="D86" s="13">
        <f t="shared" si="73"/>
        <v>26.641117385381516</v>
      </c>
      <c r="E86" s="69">
        <f t="shared" si="74"/>
        <v>25.663461701514304</v>
      </c>
      <c r="F86" s="69">
        <f t="shared" si="75"/>
        <v>25.174633859580702</v>
      </c>
      <c r="G86" s="69">
        <f t="shared" si="76"/>
        <v>24.685806017647092</v>
      </c>
      <c r="H86" s="69">
        <f t="shared" si="77"/>
        <v>23.95256425474669</v>
      </c>
      <c r="I86" s="14">
        <f t="shared" si="78"/>
        <v>22.974908570879471</v>
      </c>
      <c r="J86" s="55">
        <f t="shared" si="79"/>
        <v>158.81186627205508</v>
      </c>
      <c r="K86" s="55"/>
      <c r="L86" s="98" t="s">
        <v>16</v>
      </c>
      <c r="M86" s="69">
        <f t="shared" si="107"/>
        <v>0</v>
      </c>
      <c r="N86" s="13">
        <f t="shared" si="80"/>
        <v>17.157736286690909</v>
      </c>
      <c r="O86" s="69">
        <f t="shared" si="80"/>
        <v>61.60204144064376</v>
      </c>
      <c r="P86" s="69">
        <f t="shared" si="80"/>
        <v>85.247437732752559</v>
      </c>
      <c r="Q86" s="69">
        <f t="shared" si="80"/>
        <v>84.278132007941807</v>
      </c>
      <c r="R86" s="69">
        <f t="shared" si="80"/>
        <v>83.470440099430505</v>
      </c>
      <c r="S86" s="69">
        <f t="shared" si="80"/>
        <v>80.13718865289475</v>
      </c>
      <c r="T86" s="13">
        <f>SUM(Table19[[#This Row],[2026]:[2032]])</f>
        <v>411.89297622035429</v>
      </c>
      <c r="U86" s="52"/>
      <c r="V86" s="29">
        <f t="shared" si="81"/>
        <v>192.89307714165096</v>
      </c>
      <c r="W86" s="93" t="s">
        <v>16</v>
      </c>
      <c r="X86" s="29">
        <f t="shared" si="108"/>
        <v>37.425366008651032</v>
      </c>
      <c r="Y86" s="29">
        <f t="shared" si="82"/>
        <v>22.711768931628146</v>
      </c>
      <c r="Z86" s="29">
        <f t="shared" si="82"/>
        <v>0</v>
      </c>
      <c r="AA86" s="29">
        <f t="shared" si="82"/>
        <v>0</v>
      </c>
      <c r="AB86" s="29">
        <f t="shared" si="82"/>
        <v>-15.275672497440249</v>
      </c>
      <c r="AC86" s="29">
        <f t="shared" si="82"/>
        <v>-15.275672497440249</v>
      </c>
      <c r="AD86" s="29">
        <f t="shared" si="82"/>
        <v>-15.275672497440249</v>
      </c>
      <c r="AE86" s="51">
        <f>SUM(Table217[[#This Row],[2026]:[2032]])</f>
        <v>14.310117447958438</v>
      </c>
      <c r="AF86" s="55"/>
      <c r="AH86" s="93" t="s">
        <v>16</v>
      </c>
      <c r="AI86" s="69">
        <f t="shared" si="83"/>
        <v>3.6662088145020442</v>
      </c>
      <c r="AJ86" s="13">
        <f t="shared" si="84"/>
        <v>9.9904190195180682</v>
      </c>
      <c r="AK86" s="69">
        <f t="shared" si="85"/>
        <v>9.6237981380678637</v>
      </c>
      <c r="AL86" s="69">
        <f t="shared" si="86"/>
        <v>9.4404876973427623</v>
      </c>
      <c r="AM86" s="69">
        <f t="shared" si="87"/>
        <v>9.2571772566176591</v>
      </c>
      <c r="AN86" s="69">
        <f t="shared" si="88"/>
        <v>8.982211595530007</v>
      </c>
      <c r="AO86" s="69">
        <f t="shared" si="89"/>
        <v>8.6155907140798007</v>
      </c>
      <c r="AP86" s="51">
        <f t="shared" si="90"/>
        <v>59.554449852020653</v>
      </c>
      <c r="AQ86" s="55"/>
      <c r="AR86" s="93" t="s">
        <v>16</v>
      </c>
      <c r="AS86" s="69">
        <f t="shared" si="91"/>
        <v>7.3324176290040883</v>
      </c>
      <c r="AT86" s="13">
        <f t="shared" si="92"/>
        <v>19.980838039036136</v>
      </c>
      <c r="AU86" s="69">
        <f t="shared" si="93"/>
        <v>19.247596276135727</v>
      </c>
      <c r="AV86" s="69">
        <f t="shared" si="94"/>
        <v>18.880975394685525</v>
      </c>
      <c r="AW86" s="69">
        <f t="shared" si="95"/>
        <v>18.514354513235318</v>
      </c>
      <c r="AX86" s="69">
        <f t="shared" si="96"/>
        <v>17.964423191060014</v>
      </c>
      <c r="AY86" s="69">
        <f t="shared" si="97"/>
        <v>17.231181428159601</v>
      </c>
      <c r="AZ86" s="51">
        <f t="shared" si="98"/>
        <v>119.10889970404131</v>
      </c>
      <c r="BA86" s="55"/>
      <c r="BB86" s="98" t="s">
        <v>16</v>
      </c>
      <c r="BC86" s="69">
        <f t="shared" si="99"/>
        <v>16.075458486649477</v>
      </c>
      <c r="BD86" s="13">
        <f t="shared" si="100"/>
        <v>43.805624376119823</v>
      </c>
      <c r="BE86" s="69">
        <f t="shared" si="101"/>
        <v>42.198078527454875</v>
      </c>
      <c r="BF86" s="69">
        <f t="shared" si="102"/>
        <v>41.394305603122405</v>
      </c>
      <c r="BG86" s="69">
        <f t="shared" si="103"/>
        <v>40.590532678789927</v>
      </c>
      <c r="BH86" s="69">
        <f t="shared" si="104"/>
        <v>39.384873292291218</v>
      </c>
      <c r="BI86" s="69">
        <f t="shared" si="105"/>
        <v>37.777327443626262</v>
      </c>
      <c r="BJ86" s="51">
        <f t="shared" si="106"/>
        <v>261.13217624278678</v>
      </c>
      <c r="BK86" s="52"/>
    </row>
    <row r="87" spans="2:63" x14ac:dyDescent="0.35">
      <c r="B87" s="2" t="s">
        <v>17</v>
      </c>
      <c r="C87" s="75">
        <f t="shared" si="72"/>
        <v>20.195555555555554</v>
      </c>
      <c r="D87" s="13">
        <f t="shared" si="73"/>
        <v>55.032888888888891</v>
      </c>
      <c r="E87" s="69">
        <f t="shared" si="74"/>
        <v>53.013333333333343</v>
      </c>
      <c r="F87" s="69">
        <f t="shared" si="75"/>
        <v>52.003555555555558</v>
      </c>
      <c r="G87" s="69">
        <f t="shared" si="76"/>
        <v>50.993777777777787</v>
      </c>
      <c r="H87" s="69">
        <f t="shared" si="77"/>
        <v>49.479111111111109</v>
      </c>
      <c r="I87" s="14">
        <f t="shared" si="78"/>
        <v>47.459555555555561</v>
      </c>
      <c r="J87" s="55">
        <f t="shared" si="79"/>
        <v>329.72553128985896</v>
      </c>
      <c r="K87" s="55"/>
      <c r="L87" s="98" t="s">
        <v>17</v>
      </c>
      <c r="M87" s="69">
        <f t="shared" si="107"/>
        <v>0</v>
      </c>
      <c r="N87" s="13">
        <f t="shared" si="80"/>
        <v>4.6070090406214259</v>
      </c>
      <c r="O87" s="69">
        <f t="shared" si="80"/>
        <v>39.192874144859474</v>
      </c>
      <c r="P87" s="69">
        <f t="shared" si="80"/>
        <v>57.583219696218478</v>
      </c>
      <c r="Q87" s="69">
        <f t="shared" si="80"/>
        <v>56.994037230990791</v>
      </c>
      <c r="R87" s="69">
        <f t="shared" si="80"/>
        <v>56.60857696088177</v>
      </c>
      <c r="S87" s="69">
        <f t="shared" si="80"/>
        <v>54.354854348814328</v>
      </c>
      <c r="T87" s="13">
        <f>SUM(Table19[[#This Row],[2026]:[2032]])</f>
        <v>269.34057142238629</v>
      </c>
      <c r="U87" s="52"/>
      <c r="V87" s="29">
        <f t="shared" si="81"/>
        <v>192.89307714165096</v>
      </c>
      <c r="W87" s="93" t="s">
        <v>17</v>
      </c>
      <c r="X87" s="29">
        <f t="shared" si="108"/>
        <v>25.693079499694271</v>
      </c>
      <c r="Y87" s="29">
        <f t="shared" si="82"/>
        <v>26.134959347961733</v>
      </c>
      <c r="Z87" s="29">
        <f t="shared" si="82"/>
        <v>0</v>
      </c>
      <c r="AA87" s="29">
        <f t="shared" si="82"/>
        <v>0</v>
      </c>
      <c r="AB87" s="29">
        <f t="shared" si="82"/>
        <v>-11.77853194964872</v>
      </c>
      <c r="AC87" s="29">
        <f t="shared" si="82"/>
        <v>-11.77853194964872</v>
      </c>
      <c r="AD87" s="29">
        <f t="shared" si="82"/>
        <v>-11.77853194964872</v>
      </c>
      <c r="AE87" s="51">
        <f>SUM(Table217[[#This Row],[2026]:[2032]])</f>
        <v>16.492442998709841</v>
      </c>
      <c r="AF87" s="55"/>
      <c r="AH87" s="93" t="s">
        <v>17</v>
      </c>
      <c r="AI87" s="69">
        <f t="shared" si="83"/>
        <v>7.5733333333333333</v>
      </c>
      <c r="AJ87" s="13">
        <f t="shared" si="84"/>
        <v>20.637333333333334</v>
      </c>
      <c r="AK87" s="69">
        <f t="shared" si="85"/>
        <v>19.880000000000003</v>
      </c>
      <c r="AL87" s="69">
        <f t="shared" si="86"/>
        <v>19.501333333333335</v>
      </c>
      <c r="AM87" s="69">
        <f t="shared" si="87"/>
        <v>19.122666666666667</v>
      </c>
      <c r="AN87" s="69">
        <f t="shared" si="88"/>
        <v>18.554666666666666</v>
      </c>
      <c r="AO87" s="69">
        <f t="shared" si="89"/>
        <v>17.797333333333334</v>
      </c>
      <c r="AP87" s="51">
        <f t="shared" si="90"/>
        <v>123.64707423369713</v>
      </c>
      <c r="AQ87" s="55"/>
      <c r="AR87" s="93" t="s">
        <v>17</v>
      </c>
      <c r="AS87" s="69">
        <f t="shared" si="91"/>
        <v>15.146666666666667</v>
      </c>
      <c r="AT87" s="13">
        <f t="shared" si="92"/>
        <v>41.274666666666668</v>
      </c>
      <c r="AU87" s="69">
        <f t="shared" si="93"/>
        <v>39.760000000000005</v>
      </c>
      <c r="AV87" s="69">
        <f t="shared" si="94"/>
        <v>39.00266666666667</v>
      </c>
      <c r="AW87" s="69">
        <f t="shared" si="95"/>
        <v>38.245333333333335</v>
      </c>
      <c r="AX87" s="69">
        <f t="shared" si="96"/>
        <v>37.109333333333332</v>
      </c>
      <c r="AY87" s="69">
        <f t="shared" si="97"/>
        <v>35.594666666666669</v>
      </c>
      <c r="AZ87" s="51">
        <f t="shared" si="98"/>
        <v>247.29414846739425</v>
      </c>
      <c r="BA87" s="55"/>
      <c r="BB87" s="98" t="s">
        <v>17</v>
      </c>
      <c r="BC87" s="69">
        <f t="shared" si="99"/>
        <v>29.573221233569299</v>
      </c>
      <c r="BD87" s="13">
        <f t="shared" si="100"/>
        <v>80.587027861476344</v>
      </c>
      <c r="BE87" s="69">
        <f t="shared" si="101"/>
        <v>77.629705738119426</v>
      </c>
      <c r="BF87" s="69">
        <f t="shared" si="102"/>
        <v>76.151044676440961</v>
      </c>
      <c r="BG87" s="69">
        <f t="shared" si="103"/>
        <v>74.672383614762495</v>
      </c>
      <c r="BH87" s="69">
        <f t="shared" si="104"/>
        <v>72.454392022244775</v>
      </c>
      <c r="BI87" s="69">
        <f t="shared" si="105"/>
        <v>69.497069898887858</v>
      </c>
      <c r="BJ87" s="51">
        <f t="shared" si="106"/>
        <v>482.83128712984478</v>
      </c>
      <c r="BK87" s="52"/>
    </row>
    <row r="88" spans="2:63" x14ac:dyDescent="0.35">
      <c r="B88" s="2" t="s">
        <v>18</v>
      </c>
      <c r="C88" s="75">
        <f t="shared" si="72"/>
        <v>18.849618849618849</v>
      </c>
      <c r="D88" s="13">
        <f t="shared" si="73"/>
        <v>51.365211365211366</v>
      </c>
      <c r="E88" s="69">
        <f t="shared" si="74"/>
        <v>49.480249480249483</v>
      </c>
      <c r="F88" s="69">
        <f t="shared" si="75"/>
        <v>48.537768537768542</v>
      </c>
      <c r="G88" s="69">
        <f t="shared" si="76"/>
        <v>47.595287595287601</v>
      </c>
      <c r="H88" s="69">
        <f t="shared" si="77"/>
        <v>46.181566181566183</v>
      </c>
      <c r="I88" s="14">
        <f t="shared" si="78"/>
        <v>44.296604296604301</v>
      </c>
      <c r="J88" s="55">
        <f t="shared" si="79"/>
        <v>306.84747830760114</v>
      </c>
      <c r="K88" s="55"/>
      <c r="L88" s="98" t="s">
        <v>18</v>
      </c>
      <c r="M88" s="69">
        <f t="shared" si="107"/>
        <v>0</v>
      </c>
      <c r="N88" s="13">
        <f t="shared" ref="N88:N98" si="109">AR54/$N21</f>
        <v>7.1315723967075222</v>
      </c>
      <c r="O88" s="69">
        <f t="shared" ref="O88:O98" si="110">AS54/$N21</f>
        <v>44.66714798013048</v>
      </c>
      <c r="P88" s="69">
        <f t="shared" ref="P88:P98" si="111">AT54/$N21</f>
        <v>64.628413414714657</v>
      </c>
      <c r="Q88" s="69">
        <f t="shared" ref="Q88:Q98" si="112">AU54/$N21</f>
        <v>63.948732937632052</v>
      </c>
      <c r="R88" s="69">
        <f t="shared" ref="R88:R98" si="113">AV54/$N21</f>
        <v>63.471146694767128</v>
      </c>
      <c r="S88" s="69">
        <f t="shared" ref="S88:S98" si="114">AW54/$N21</f>
        <v>60.942294079773845</v>
      </c>
      <c r="T88" s="13">
        <f>SUM(Table19[[#This Row],[2026]:[2032]])</f>
        <v>304.78930750372569</v>
      </c>
      <c r="U88" s="52"/>
      <c r="V88" s="29">
        <f t="shared" si="81"/>
        <v>192.89307714165096</v>
      </c>
      <c r="W88" s="93" t="s">
        <v>18</v>
      </c>
      <c r="X88" s="29">
        <f t="shared" si="108"/>
        <v>28.720634621996684</v>
      </c>
      <c r="Y88" s="29">
        <f t="shared" ref="Y88:Y98" si="115">BX54/$N21</f>
        <v>26.301466937693878</v>
      </c>
      <c r="Z88" s="29">
        <f t="shared" ref="Z88:Z98" si="116">BY54/$N21</f>
        <v>0</v>
      </c>
      <c r="AA88" s="29">
        <f t="shared" ref="AA88:AA98" si="117">BZ54/$N21</f>
        <v>0</v>
      </c>
      <c r="AB88" s="29">
        <f t="shared" ref="AB88:AB98" si="118">CA54/$N21</f>
        <v>-12.809593614713179</v>
      </c>
      <c r="AC88" s="29">
        <f t="shared" ref="AC88:AC98" si="119">CB54/$N21</f>
        <v>-12.809593614713179</v>
      </c>
      <c r="AD88" s="29">
        <f t="shared" ref="AD88:AD98" si="120">CC54/$N21</f>
        <v>-12.809593614713179</v>
      </c>
      <c r="AE88" s="51">
        <f>SUM(Table217[[#This Row],[2026]:[2032]])</f>
        <v>16.593320715551023</v>
      </c>
      <c r="AF88" s="55"/>
      <c r="AH88" s="93" t="s">
        <v>18</v>
      </c>
      <c r="AI88" s="69">
        <f t="shared" si="83"/>
        <v>7.0686070686070694</v>
      </c>
      <c r="AJ88" s="13">
        <f t="shared" si="84"/>
        <v>19.261954261954262</v>
      </c>
      <c r="AK88" s="69">
        <f t="shared" si="85"/>
        <v>18.555093555093556</v>
      </c>
      <c r="AL88" s="69">
        <f t="shared" si="86"/>
        <v>18.201663201663202</v>
      </c>
      <c r="AM88" s="69">
        <f t="shared" si="87"/>
        <v>17.848232848232851</v>
      </c>
      <c r="AN88" s="69">
        <f t="shared" si="88"/>
        <v>17.318087318087318</v>
      </c>
      <c r="AO88" s="69">
        <f t="shared" si="89"/>
        <v>16.611226611226613</v>
      </c>
      <c r="AP88" s="51">
        <f t="shared" si="90"/>
        <v>115.06780436535043</v>
      </c>
      <c r="AQ88" s="55"/>
      <c r="AR88" s="93" t="s">
        <v>18</v>
      </c>
      <c r="AS88" s="69">
        <f t="shared" si="91"/>
        <v>14.137214137214139</v>
      </c>
      <c r="AT88" s="13">
        <f t="shared" si="92"/>
        <v>38.523908523908524</v>
      </c>
      <c r="AU88" s="69">
        <f t="shared" si="93"/>
        <v>37.110187110187113</v>
      </c>
      <c r="AV88" s="69">
        <f t="shared" si="94"/>
        <v>36.403326403326403</v>
      </c>
      <c r="AW88" s="69">
        <f t="shared" si="95"/>
        <v>35.696465696465701</v>
      </c>
      <c r="AX88" s="69">
        <f t="shared" si="96"/>
        <v>34.636174636174637</v>
      </c>
      <c r="AY88" s="69">
        <f t="shared" si="97"/>
        <v>33.222453222453225</v>
      </c>
      <c r="AZ88" s="51">
        <f t="shared" si="98"/>
        <v>230.13560873070085</v>
      </c>
      <c r="BA88" s="55"/>
      <c r="BB88" s="98" t="s">
        <v>18</v>
      </c>
      <c r="BC88" s="69">
        <f t="shared" si="99"/>
        <v>29.041458523093294</v>
      </c>
      <c r="BD88" s="13">
        <f t="shared" si="100"/>
        <v>79.137974475429218</v>
      </c>
      <c r="BE88" s="69">
        <f t="shared" si="101"/>
        <v>76.233828623119891</v>
      </c>
      <c r="BF88" s="69">
        <f t="shared" si="102"/>
        <v>74.78175569696522</v>
      </c>
      <c r="BG88" s="69">
        <f t="shared" si="103"/>
        <v>73.329682770810564</v>
      </c>
      <c r="BH88" s="69">
        <f t="shared" si="104"/>
        <v>71.151573381578558</v>
      </c>
      <c r="BI88" s="69">
        <f t="shared" si="105"/>
        <v>68.247427529269231</v>
      </c>
      <c r="BJ88" s="51">
        <f t="shared" si="106"/>
        <v>472.75748041802751</v>
      </c>
      <c r="BK88" s="52"/>
    </row>
    <row r="89" spans="2:63" x14ac:dyDescent="0.35">
      <c r="B89" s="2" t="s">
        <v>19</v>
      </c>
      <c r="C89" s="75">
        <f t="shared" si="72"/>
        <v>8.0685829551185062</v>
      </c>
      <c r="D89" s="13">
        <f t="shared" si="73"/>
        <v>21.986888552697931</v>
      </c>
      <c r="E89" s="69">
        <f t="shared" si="74"/>
        <v>21.180030257186079</v>
      </c>
      <c r="F89" s="69">
        <f t="shared" si="75"/>
        <v>20.776601109430157</v>
      </c>
      <c r="G89" s="69">
        <f t="shared" si="76"/>
        <v>20.373171961674231</v>
      </c>
      <c r="H89" s="69">
        <f t="shared" si="77"/>
        <v>19.768028240040344</v>
      </c>
      <c r="I89" s="14">
        <f t="shared" si="78"/>
        <v>18.961169944528493</v>
      </c>
      <c r="J89" s="55">
        <f t="shared" si="79"/>
        <v>133.34848124779532</v>
      </c>
      <c r="K89" s="55"/>
      <c r="L89" s="98" t="s">
        <v>19</v>
      </c>
      <c r="M89" s="69">
        <f t="shared" si="107"/>
        <v>0</v>
      </c>
      <c r="N89" s="13">
        <f t="shared" si="109"/>
        <v>84.391457705470074</v>
      </c>
      <c r="O89" s="69">
        <f t="shared" si="110"/>
        <v>251.40168535755112</v>
      </c>
      <c r="P89" s="69">
        <f t="shared" si="111"/>
        <v>340.27806054298497</v>
      </c>
      <c r="Q89" s="69">
        <f t="shared" si="112"/>
        <v>336.25959529403423</v>
      </c>
      <c r="R89" s="69">
        <f t="shared" si="113"/>
        <v>332.67088042983073</v>
      </c>
      <c r="S89" s="69">
        <f t="shared" si="114"/>
        <v>319.3706377907663</v>
      </c>
      <c r="T89" s="13">
        <f>SUM(Table19[[#This Row],[2026]:[2032]])</f>
        <v>1664.3723171206375</v>
      </c>
      <c r="U89" s="52"/>
      <c r="V89" s="29">
        <f t="shared" si="81"/>
        <v>192.89307714165096</v>
      </c>
      <c r="W89" s="93" t="s">
        <v>19</v>
      </c>
      <c r="X89" s="29">
        <f t="shared" si="108"/>
        <v>148.44867435962337</v>
      </c>
      <c r="Y89" s="29">
        <f t="shared" si="115"/>
        <v>66.074362392932926</v>
      </c>
      <c r="Z89" s="29">
        <f t="shared" si="116"/>
        <v>0</v>
      </c>
      <c r="AA89" s="29">
        <f t="shared" si="117"/>
        <v>0</v>
      </c>
      <c r="AB89" s="29">
        <f t="shared" si="118"/>
        <v>-57.649739501303834</v>
      </c>
      <c r="AC89" s="29">
        <f t="shared" si="119"/>
        <v>-57.649739501303834</v>
      </c>
      <c r="AD89" s="29">
        <f t="shared" si="120"/>
        <v>-57.649739501303834</v>
      </c>
      <c r="AE89" s="51">
        <f>SUM(Table217[[#This Row],[2026]:[2032]])</f>
        <v>41.573818248644805</v>
      </c>
      <c r="AF89" s="55"/>
      <c r="AH89" s="93" t="s">
        <v>19</v>
      </c>
      <c r="AI89" s="69">
        <f t="shared" si="83"/>
        <v>3.02571860816944</v>
      </c>
      <c r="AJ89" s="13">
        <f t="shared" si="84"/>
        <v>8.2450832072617253</v>
      </c>
      <c r="AK89" s="69">
        <f t="shared" si="85"/>
        <v>7.9425113464447801</v>
      </c>
      <c r="AL89" s="69">
        <f t="shared" si="86"/>
        <v>7.7912254160363084</v>
      </c>
      <c r="AM89" s="69">
        <f t="shared" si="87"/>
        <v>7.6399394856278358</v>
      </c>
      <c r="AN89" s="69">
        <f t="shared" si="88"/>
        <v>7.4130105900151291</v>
      </c>
      <c r="AO89" s="69">
        <f t="shared" si="89"/>
        <v>7.1104387291981848</v>
      </c>
      <c r="AP89" s="51">
        <f t="shared" si="90"/>
        <v>50.005680467923241</v>
      </c>
      <c r="AQ89" s="55"/>
      <c r="AR89" s="93" t="s">
        <v>19</v>
      </c>
      <c r="AS89" s="69">
        <f t="shared" si="91"/>
        <v>6.0514372163388801</v>
      </c>
      <c r="AT89" s="13">
        <f t="shared" si="92"/>
        <v>16.490166414523451</v>
      </c>
      <c r="AU89" s="69">
        <f t="shared" si="93"/>
        <v>15.88502269288956</v>
      </c>
      <c r="AV89" s="69">
        <f t="shared" si="94"/>
        <v>15.582450832072617</v>
      </c>
      <c r="AW89" s="69">
        <f t="shared" si="95"/>
        <v>15.279878971255672</v>
      </c>
      <c r="AX89" s="69">
        <f t="shared" si="96"/>
        <v>14.826021180030258</v>
      </c>
      <c r="AY89" s="69">
        <f t="shared" si="97"/>
        <v>14.22087745839637</v>
      </c>
      <c r="AZ89" s="51">
        <f t="shared" si="98"/>
        <v>100.01136093584648</v>
      </c>
      <c r="BA89" s="55"/>
      <c r="BB89" s="98" t="s">
        <v>19</v>
      </c>
      <c r="BC89" s="69">
        <f t="shared" si="99"/>
        <v>14.138872000791777</v>
      </c>
      <c r="BD89" s="13">
        <f t="shared" si="100"/>
        <v>38.528426202157597</v>
      </c>
      <c r="BE89" s="69">
        <f t="shared" si="101"/>
        <v>37.114539002078416</v>
      </c>
      <c r="BF89" s="69">
        <f t="shared" si="102"/>
        <v>36.407595402038829</v>
      </c>
      <c r="BG89" s="69">
        <f t="shared" si="103"/>
        <v>35.700651801999236</v>
      </c>
      <c r="BH89" s="69">
        <f t="shared" si="104"/>
        <v>34.640236401939859</v>
      </c>
      <c r="BI89" s="69">
        <f t="shared" si="105"/>
        <v>33.226349201860678</v>
      </c>
      <c r="BJ89" s="51">
        <f t="shared" si="106"/>
        <v>233.6714040557161</v>
      </c>
      <c r="BK89" s="52"/>
    </row>
    <row r="90" spans="2:63" x14ac:dyDescent="0.35">
      <c r="B90" s="2" t="s">
        <v>20</v>
      </c>
      <c r="C90" s="75">
        <f t="shared" si="72"/>
        <v>6.631142687981054</v>
      </c>
      <c r="D90" s="13">
        <f t="shared" si="73"/>
        <v>18.069863824748374</v>
      </c>
      <c r="E90" s="69">
        <f t="shared" si="74"/>
        <v>17.406749555950267</v>
      </c>
      <c r="F90" s="69">
        <f t="shared" si="75"/>
        <v>17.075192421551215</v>
      </c>
      <c r="G90" s="69">
        <f t="shared" si="76"/>
        <v>16.743635287152163</v>
      </c>
      <c r="H90" s="69">
        <f t="shared" si="77"/>
        <v>16.246299585553583</v>
      </c>
      <c r="I90" s="14">
        <f t="shared" si="78"/>
        <v>15.583185316755479</v>
      </c>
      <c r="J90" s="55">
        <f t="shared" si="79"/>
        <v>107.75606867969213</v>
      </c>
      <c r="K90" s="55"/>
      <c r="L90" s="98" t="s">
        <v>20</v>
      </c>
      <c r="M90" s="69">
        <f t="shared" si="107"/>
        <v>0</v>
      </c>
      <c r="N90" s="13">
        <f t="shared" si="109"/>
        <v>5.8338279239604827</v>
      </c>
      <c r="O90" s="69">
        <f t="shared" si="110"/>
        <v>25.208850060074077</v>
      </c>
      <c r="P90" s="69">
        <f t="shared" si="111"/>
        <v>35.514901907740317</v>
      </c>
      <c r="Q90" s="69">
        <f t="shared" si="112"/>
        <v>35.1234204984383</v>
      </c>
      <c r="R90" s="69">
        <f t="shared" si="113"/>
        <v>34.817065456675039</v>
      </c>
      <c r="S90" s="69">
        <f t="shared" si="114"/>
        <v>33.427993015527804</v>
      </c>
      <c r="T90" s="13">
        <f>SUM(Table19[[#This Row],[2026]:[2032]])</f>
        <v>169.92605886241603</v>
      </c>
      <c r="U90" s="52"/>
      <c r="V90" s="29">
        <f t="shared" si="81"/>
        <v>192.89307714165096</v>
      </c>
      <c r="W90" s="93" t="s">
        <v>20</v>
      </c>
      <c r="X90" s="29">
        <f t="shared" si="108"/>
        <v>15.669474991922915</v>
      </c>
      <c r="Y90" s="29">
        <f t="shared" si="115"/>
        <v>11.493432739957697</v>
      </c>
      <c r="Z90" s="29">
        <f t="shared" si="116"/>
        <v>0</v>
      </c>
      <c r="AA90" s="29">
        <f t="shared" si="117"/>
        <v>0</v>
      </c>
      <c r="AB90" s="29">
        <f t="shared" si="118"/>
        <v>-6.6387971892406812</v>
      </c>
      <c r="AC90" s="29">
        <f t="shared" si="119"/>
        <v>-6.6387971892406812</v>
      </c>
      <c r="AD90" s="29">
        <f t="shared" si="120"/>
        <v>-6.6387971892406812</v>
      </c>
      <c r="AE90" s="51">
        <f>SUM(Table217[[#This Row],[2026]:[2032]])</f>
        <v>7.24651616415857</v>
      </c>
      <c r="AF90" s="55"/>
      <c r="AH90" s="93" t="s">
        <v>20</v>
      </c>
      <c r="AI90" s="69">
        <f t="shared" si="83"/>
        <v>2.4866785079928952</v>
      </c>
      <c r="AJ90" s="13">
        <f t="shared" si="84"/>
        <v>6.7761989342806404</v>
      </c>
      <c r="AK90" s="69">
        <f t="shared" si="85"/>
        <v>6.5275310834813505</v>
      </c>
      <c r="AL90" s="69">
        <f t="shared" si="86"/>
        <v>6.4031971580817055</v>
      </c>
      <c r="AM90" s="69">
        <f t="shared" si="87"/>
        <v>6.2788632326820615</v>
      </c>
      <c r="AN90" s="69">
        <f t="shared" si="88"/>
        <v>6.0923623445825932</v>
      </c>
      <c r="AO90" s="69">
        <f t="shared" si="89"/>
        <v>5.8436944937833042</v>
      </c>
      <c r="AP90" s="51">
        <f t="shared" si="90"/>
        <v>40.40852575488455</v>
      </c>
      <c r="AQ90" s="55"/>
      <c r="AR90" s="93" t="s">
        <v>20</v>
      </c>
      <c r="AS90" s="69">
        <f t="shared" si="91"/>
        <v>4.9733570159857905</v>
      </c>
      <c r="AT90" s="13">
        <f t="shared" si="92"/>
        <v>13.552397868561281</v>
      </c>
      <c r="AU90" s="69">
        <f t="shared" si="93"/>
        <v>13.055062166962701</v>
      </c>
      <c r="AV90" s="69">
        <f t="shared" si="94"/>
        <v>12.806394316163411</v>
      </c>
      <c r="AW90" s="69">
        <f t="shared" si="95"/>
        <v>12.557726465364123</v>
      </c>
      <c r="AX90" s="69">
        <f t="shared" si="96"/>
        <v>12.184724689165186</v>
      </c>
      <c r="AY90" s="69">
        <f t="shared" si="97"/>
        <v>11.687388987566608</v>
      </c>
      <c r="AZ90" s="51">
        <f t="shared" si="98"/>
        <v>80.817051509769101</v>
      </c>
      <c r="BA90" s="55"/>
      <c r="BB90" s="98" t="s">
        <v>20</v>
      </c>
      <c r="BC90" s="69">
        <f t="shared" si="99"/>
        <v>12.547893330808355</v>
      </c>
      <c r="BD90" s="13">
        <f t="shared" si="100"/>
        <v>34.193009326452774</v>
      </c>
      <c r="BE90" s="69">
        <f t="shared" si="101"/>
        <v>32.938219993371938</v>
      </c>
      <c r="BF90" s="69">
        <f t="shared" si="102"/>
        <v>32.31082532683152</v>
      </c>
      <c r="BG90" s="69">
        <f t="shared" si="103"/>
        <v>31.683430660291101</v>
      </c>
      <c r="BH90" s="69">
        <f t="shared" si="104"/>
        <v>30.74233866048047</v>
      </c>
      <c r="BI90" s="69">
        <f t="shared" si="105"/>
        <v>29.487549327399638</v>
      </c>
      <c r="BJ90" s="51">
        <f t="shared" si="106"/>
        <v>203.90326662563581</v>
      </c>
      <c r="BK90" s="52"/>
    </row>
    <row r="91" spans="2:63" x14ac:dyDescent="0.35">
      <c r="B91" s="2" t="s">
        <v>21</v>
      </c>
      <c r="C91" s="75">
        <f t="shared" si="72"/>
        <v>3.2993367887198346</v>
      </c>
      <c r="D91" s="13">
        <f t="shared" si="73"/>
        <v>8.9906927492615516</v>
      </c>
      <c r="E91" s="69">
        <f t="shared" si="74"/>
        <v>8.6607590703895667</v>
      </c>
      <c r="F91" s="69">
        <f t="shared" si="75"/>
        <v>8.4957922309535743</v>
      </c>
      <c r="G91" s="69">
        <f t="shared" si="76"/>
        <v>8.3308253915175818</v>
      </c>
      <c r="H91" s="69">
        <f t="shared" si="77"/>
        <v>8.0833751323635941</v>
      </c>
      <c r="I91" s="14">
        <f t="shared" si="78"/>
        <v>7.7534414534916118</v>
      </c>
      <c r="J91" s="55">
        <f t="shared" si="79"/>
        <v>53.541193406755788</v>
      </c>
      <c r="K91" s="55"/>
      <c r="L91" s="98" t="s">
        <v>21</v>
      </c>
      <c r="M91" s="69">
        <f t="shared" si="107"/>
        <v>0</v>
      </c>
      <c r="N91" s="13">
        <f t="shared" si="109"/>
        <v>22.541471936056148</v>
      </c>
      <c r="O91" s="69">
        <f t="shared" si="110"/>
        <v>68.626004186911516</v>
      </c>
      <c r="P91" s="69">
        <f t="shared" si="111"/>
        <v>93.149543796407571</v>
      </c>
      <c r="Q91" s="69">
        <f t="shared" si="112"/>
        <v>92.054768687038859</v>
      </c>
      <c r="R91" s="69">
        <f t="shared" si="113"/>
        <v>91.085222866203949</v>
      </c>
      <c r="S91" s="69">
        <f t="shared" si="114"/>
        <v>87.444169138063586</v>
      </c>
      <c r="T91" s="13">
        <f>SUM(Table19[[#This Row],[2026]:[2032]])</f>
        <v>454.90118061068165</v>
      </c>
      <c r="U91" s="52"/>
      <c r="V91" s="29">
        <f t="shared" si="81"/>
        <v>192.89307714165096</v>
      </c>
      <c r="W91" s="93" t="s">
        <v>21</v>
      </c>
      <c r="X91" s="29">
        <f t="shared" si="108"/>
        <v>40.670266237764999</v>
      </c>
      <c r="Y91" s="29">
        <f t="shared" si="115"/>
        <v>18.953628498888804</v>
      </c>
      <c r="Z91" s="29">
        <f t="shared" si="116"/>
        <v>0</v>
      </c>
      <c r="AA91" s="29">
        <f t="shared" si="117"/>
        <v>0</v>
      </c>
      <c r="AB91" s="29">
        <f t="shared" si="118"/>
        <v>-15.898505913772011</v>
      </c>
      <c r="AC91" s="29">
        <f t="shared" si="119"/>
        <v>-15.898505913772011</v>
      </c>
      <c r="AD91" s="29">
        <f t="shared" si="120"/>
        <v>-15.898505913772011</v>
      </c>
      <c r="AE91" s="51">
        <f>SUM(Table217[[#This Row],[2026]:[2032]])</f>
        <v>11.928376995337766</v>
      </c>
      <c r="AF91" s="55"/>
      <c r="AH91" s="93" t="s">
        <v>21</v>
      </c>
      <c r="AI91" s="69">
        <f t="shared" si="83"/>
        <v>1.237251295769938</v>
      </c>
      <c r="AJ91" s="13">
        <f t="shared" si="84"/>
        <v>3.3715097809730814</v>
      </c>
      <c r="AK91" s="69">
        <f t="shared" si="85"/>
        <v>3.2477846513960875</v>
      </c>
      <c r="AL91" s="69">
        <f t="shared" si="86"/>
        <v>3.1859220866075906</v>
      </c>
      <c r="AM91" s="69">
        <f t="shared" si="87"/>
        <v>3.1240595218190932</v>
      </c>
      <c r="AN91" s="69">
        <f t="shared" si="88"/>
        <v>3.0312656746363484</v>
      </c>
      <c r="AO91" s="69">
        <f t="shared" si="89"/>
        <v>2.9075405450593546</v>
      </c>
      <c r="AP91" s="51">
        <f t="shared" si="90"/>
        <v>20.077947527533418</v>
      </c>
      <c r="AQ91" s="55"/>
      <c r="AR91" s="93" t="s">
        <v>21</v>
      </c>
      <c r="AS91" s="69">
        <f t="shared" si="91"/>
        <v>2.474502591539876</v>
      </c>
      <c r="AT91" s="13">
        <f t="shared" si="92"/>
        <v>6.7430195619461628</v>
      </c>
      <c r="AU91" s="69">
        <f t="shared" si="93"/>
        <v>6.495569302792175</v>
      </c>
      <c r="AV91" s="69">
        <f t="shared" si="94"/>
        <v>6.3718441732151812</v>
      </c>
      <c r="AW91" s="69">
        <f t="shared" si="95"/>
        <v>6.2481190436381864</v>
      </c>
      <c r="AX91" s="69">
        <f t="shared" si="96"/>
        <v>6.0625313492726969</v>
      </c>
      <c r="AY91" s="69">
        <f t="shared" si="97"/>
        <v>5.8150810901187091</v>
      </c>
      <c r="AZ91" s="51">
        <f t="shared" si="98"/>
        <v>40.155895055066836</v>
      </c>
      <c r="BA91" s="55"/>
      <c r="BB91" s="98" t="s">
        <v>21</v>
      </c>
      <c r="BC91" s="69">
        <f t="shared" si="99"/>
        <v>7.2576585310991399</v>
      </c>
      <c r="BD91" s="13">
        <f t="shared" si="100"/>
        <v>19.77711949724516</v>
      </c>
      <c r="BE91" s="69">
        <f t="shared" si="101"/>
        <v>19.051353644135247</v>
      </c>
      <c r="BF91" s="69">
        <f t="shared" si="102"/>
        <v>18.688470717580287</v>
      </c>
      <c r="BG91" s="69">
        <f t="shared" si="103"/>
        <v>18.325587791025328</v>
      </c>
      <c r="BH91" s="69">
        <f t="shared" si="104"/>
        <v>17.781263401192895</v>
      </c>
      <c r="BI91" s="69">
        <f t="shared" si="105"/>
        <v>17.055497548082982</v>
      </c>
      <c r="BJ91" s="51">
        <f t="shared" si="106"/>
        <v>117.776305960127</v>
      </c>
      <c r="BK91" s="52"/>
    </row>
    <row r="92" spans="2:63" x14ac:dyDescent="0.35">
      <c r="B92" s="2" t="s">
        <v>22</v>
      </c>
      <c r="C92" s="75">
        <f t="shared" si="72"/>
        <v>25.631923395501669</v>
      </c>
      <c r="D92" s="13">
        <f t="shared" si="73"/>
        <v>69.846991252742043</v>
      </c>
      <c r="E92" s="69">
        <f t="shared" si="74"/>
        <v>67.283798913191887</v>
      </c>
      <c r="F92" s="69">
        <f t="shared" si="75"/>
        <v>66.002202743416802</v>
      </c>
      <c r="G92" s="69">
        <f t="shared" si="76"/>
        <v>64.720606573641703</v>
      </c>
      <c r="H92" s="69">
        <f t="shared" si="77"/>
        <v>62.798212318979083</v>
      </c>
      <c r="I92" s="14">
        <f t="shared" si="78"/>
        <v>60.235019979428913</v>
      </c>
      <c r="J92" s="55">
        <f t="shared" si="79"/>
        <v>416.48330905382255</v>
      </c>
      <c r="K92" s="55"/>
      <c r="L92" s="98" t="s">
        <v>22</v>
      </c>
      <c r="M92" s="69">
        <f t="shared" si="107"/>
        <v>0</v>
      </c>
      <c r="N92" s="13">
        <f t="shared" si="109"/>
        <v>6.1349609857842315</v>
      </c>
      <c r="O92" s="69">
        <f t="shared" si="110"/>
        <v>50.564963781927176</v>
      </c>
      <c r="P92" s="69">
        <f t="shared" si="111"/>
        <v>74.189984722069994</v>
      </c>
      <c r="Q92" s="69">
        <f t="shared" si="112"/>
        <v>73.429012949157382</v>
      </c>
      <c r="R92" s="69">
        <f t="shared" si="113"/>
        <v>72.927817134386601</v>
      </c>
      <c r="S92" s="69">
        <f t="shared" si="114"/>
        <v>70.024191991168493</v>
      </c>
      <c r="T92" s="13">
        <f>SUM(Table19[[#This Row],[2026]:[2032]])</f>
        <v>347.27093156449388</v>
      </c>
      <c r="U92" s="52"/>
      <c r="V92" s="29">
        <f t="shared" si="81"/>
        <v>192.89307714165096</v>
      </c>
      <c r="W92" s="93" t="s">
        <v>22</v>
      </c>
      <c r="X92" s="29">
        <f t="shared" si="108"/>
        <v>33.091073946049519</v>
      </c>
      <c r="Y92" s="29">
        <f t="shared" si="115"/>
        <v>33.364093809140705</v>
      </c>
      <c r="Z92" s="29">
        <f t="shared" si="116"/>
        <v>0</v>
      </c>
      <c r="AA92" s="29">
        <f t="shared" si="117"/>
        <v>0</v>
      </c>
      <c r="AB92" s="29">
        <f t="shared" si="118"/>
        <v>-15.1337374693199</v>
      </c>
      <c r="AC92" s="29">
        <f t="shared" si="119"/>
        <v>-15.1337374693199</v>
      </c>
      <c r="AD92" s="29">
        <f t="shared" si="120"/>
        <v>-15.1337374693199</v>
      </c>
      <c r="AE92" s="51">
        <f>SUM(Table217[[#This Row],[2026]:[2032]])</f>
        <v>21.053955347230524</v>
      </c>
      <c r="AF92" s="55"/>
      <c r="AH92" s="93" t="s">
        <v>22</v>
      </c>
      <c r="AI92" s="69">
        <f t="shared" si="83"/>
        <v>9.6119712733131255</v>
      </c>
      <c r="AJ92" s="13">
        <f t="shared" si="84"/>
        <v>26.192621719778263</v>
      </c>
      <c r="AK92" s="69">
        <f t="shared" si="85"/>
        <v>25.231424592446956</v>
      </c>
      <c r="AL92" s="69">
        <f t="shared" si="86"/>
        <v>24.750826028781297</v>
      </c>
      <c r="AM92" s="69">
        <f t="shared" si="87"/>
        <v>24.270227465115642</v>
      </c>
      <c r="AN92" s="69">
        <f t="shared" si="88"/>
        <v>23.549329619617154</v>
      </c>
      <c r="AO92" s="69">
        <f t="shared" si="89"/>
        <v>22.58813249228584</v>
      </c>
      <c r="AP92" s="51">
        <f t="shared" si="90"/>
        <v>156.18124089518346</v>
      </c>
      <c r="AQ92" s="55"/>
      <c r="AR92" s="93" t="s">
        <v>22</v>
      </c>
      <c r="AS92" s="69">
        <f t="shared" si="91"/>
        <v>19.223942546626251</v>
      </c>
      <c r="AT92" s="13">
        <f t="shared" si="92"/>
        <v>52.385243439556525</v>
      </c>
      <c r="AU92" s="69">
        <f t="shared" si="93"/>
        <v>50.462849184893912</v>
      </c>
      <c r="AV92" s="69">
        <f t="shared" si="94"/>
        <v>49.501652057562595</v>
      </c>
      <c r="AW92" s="69">
        <f t="shared" si="95"/>
        <v>48.540454930231284</v>
      </c>
      <c r="AX92" s="69">
        <f t="shared" si="96"/>
        <v>47.098659239234308</v>
      </c>
      <c r="AY92" s="69">
        <f t="shared" si="97"/>
        <v>45.176264984571681</v>
      </c>
      <c r="AZ92" s="51">
        <f t="shared" si="98"/>
        <v>312.36248179036693</v>
      </c>
      <c r="BA92" s="55"/>
      <c r="BB92" s="98" t="s">
        <v>22</v>
      </c>
      <c r="BC92" s="69">
        <f t="shared" si="99"/>
        <v>58.89542581521826</v>
      </c>
      <c r="BD92" s="13">
        <f t="shared" si="100"/>
        <v>160.49003534646971</v>
      </c>
      <c r="BE92" s="69">
        <f t="shared" si="101"/>
        <v>154.60049276494792</v>
      </c>
      <c r="BF92" s="69">
        <f t="shared" si="102"/>
        <v>151.655721474187</v>
      </c>
      <c r="BG92" s="69">
        <f t="shared" si="103"/>
        <v>148.71095018342609</v>
      </c>
      <c r="BH92" s="69">
        <f t="shared" si="104"/>
        <v>144.2937932472847</v>
      </c>
      <c r="BI92" s="69">
        <f t="shared" si="105"/>
        <v>138.40425066576287</v>
      </c>
      <c r="BJ92" s="51">
        <f t="shared" si="106"/>
        <v>956.96922361904331</v>
      </c>
      <c r="BK92" s="52"/>
    </row>
    <row r="93" spans="2:63" x14ac:dyDescent="0.35">
      <c r="B93" s="2" t="s">
        <v>23</v>
      </c>
      <c r="C93" s="75">
        <f t="shared" si="72"/>
        <v>9.4235588972431064</v>
      </c>
      <c r="D93" s="13">
        <f t="shared" si="73"/>
        <v>25.679197994987469</v>
      </c>
      <c r="E93" s="69">
        <f t="shared" si="74"/>
        <v>24.736842105263154</v>
      </c>
      <c r="F93" s="69">
        <f t="shared" si="75"/>
        <v>24.265664160401002</v>
      </c>
      <c r="G93" s="69">
        <f t="shared" si="76"/>
        <v>23.794486215538843</v>
      </c>
      <c r="H93" s="69">
        <f t="shared" si="77"/>
        <v>23.087719298245613</v>
      </c>
      <c r="I93" s="14">
        <f t="shared" si="78"/>
        <v>22.145363408521302</v>
      </c>
      <c r="J93" s="55">
        <f t="shared" si="79"/>
        <v>153.27744578172559</v>
      </c>
      <c r="K93" s="55"/>
      <c r="L93" s="98" t="s">
        <v>23</v>
      </c>
      <c r="M93" s="69">
        <f t="shared" si="107"/>
        <v>0</v>
      </c>
      <c r="N93" s="13">
        <f t="shared" si="109"/>
        <v>9.4083144002209131</v>
      </c>
      <c r="O93" s="69">
        <f t="shared" si="110"/>
        <v>39.016665719290302</v>
      </c>
      <c r="P93" s="69">
        <f t="shared" si="111"/>
        <v>54.766649122685031</v>
      </c>
      <c r="Q93" s="69">
        <f t="shared" si="112"/>
        <v>54.159085654183258</v>
      </c>
      <c r="R93" s="69">
        <f t="shared" si="113"/>
        <v>53.677212946421314</v>
      </c>
      <c r="S93" s="69">
        <f t="shared" si="114"/>
        <v>51.535286688293937</v>
      </c>
      <c r="T93" s="13">
        <f>SUM(Table19[[#This Row],[2026]:[2032]])</f>
        <v>262.56321453109479</v>
      </c>
      <c r="U93" s="52"/>
      <c r="V93" s="29">
        <f t="shared" si="81"/>
        <v>192.89307714165096</v>
      </c>
      <c r="W93" s="93" t="s">
        <v>23</v>
      </c>
      <c r="X93" s="29">
        <f t="shared" si="108"/>
        <v>24.139141575263434</v>
      </c>
      <c r="Y93" s="29">
        <f t="shared" si="115"/>
        <v>17.086716899353299</v>
      </c>
      <c r="Z93" s="29">
        <f t="shared" si="116"/>
        <v>0</v>
      </c>
      <c r="AA93" s="29">
        <f t="shared" si="117"/>
        <v>0</v>
      </c>
      <c r="AB93" s="29">
        <f t="shared" si="118"/>
        <v>-10.151352988342611</v>
      </c>
      <c r="AC93" s="29">
        <f t="shared" si="119"/>
        <v>-10.151352988342611</v>
      </c>
      <c r="AD93" s="29">
        <f t="shared" si="120"/>
        <v>-10.151352988342611</v>
      </c>
      <c r="AE93" s="51">
        <f>SUM(Table217[[#This Row],[2026]:[2032]])</f>
        <v>10.771799509588901</v>
      </c>
      <c r="AF93" s="55"/>
      <c r="AH93" s="93" t="s">
        <v>23</v>
      </c>
      <c r="AI93" s="69">
        <f t="shared" si="83"/>
        <v>3.5338345864661656</v>
      </c>
      <c r="AJ93" s="13">
        <f t="shared" si="84"/>
        <v>9.6296992481203016</v>
      </c>
      <c r="AK93" s="69">
        <f t="shared" si="85"/>
        <v>9.2763157894736832</v>
      </c>
      <c r="AL93" s="69">
        <f t="shared" si="86"/>
        <v>9.0996240601503739</v>
      </c>
      <c r="AM93" s="69">
        <f t="shared" si="87"/>
        <v>8.9229323308270665</v>
      </c>
      <c r="AN93" s="69">
        <f t="shared" si="88"/>
        <v>8.6578947368421044</v>
      </c>
      <c r="AO93" s="69">
        <f t="shared" si="89"/>
        <v>8.3045112781954877</v>
      </c>
      <c r="AP93" s="51">
        <f t="shared" si="90"/>
        <v>57.479042168147103</v>
      </c>
      <c r="AQ93" s="55"/>
      <c r="AR93" s="93" t="s">
        <v>23</v>
      </c>
      <c r="AS93" s="69">
        <f t="shared" si="91"/>
        <v>7.0676691729323311</v>
      </c>
      <c r="AT93" s="13">
        <f t="shared" si="92"/>
        <v>19.259398496240603</v>
      </c>
      <c r="AU93" s="69">
        <f t="shared" si="93"/>
        <v>18.552631578947366</v>
      </c>
      <c r="AV93" s="69">
        <f t="shared" si="94"/>
        <v>18.199248120300748</v>
      </c>
      <c r="AW93" s="69">
        <f t="shared" si="95"/>
        <v>17.845864661654133</v>
      </c>
      <c r="AX93" s="69">
        <f t="shared" si="96"/>
        <v>17.315789473684209</v>
      </c>
      <c r="AY93" s="69">
        <f t="shared" si="97"/>
        <v>16.609022556390975</v>
      </c>
      <c r="AZ93" s="51">
        <f t="shared" si="98"/>
        <v>114.95808433629421</v>
      </c>
      <c r="BA93" s="55"/>
      <c r="BB93" s="98" t="s">
        <v>23</v>
      </c>
      <c r="BC93" s="69">
        <f t="shared" si="99"/>
        <v>17.584241713057942</v>
      </c>
      <c r="BD93" s="13">
        <f t="shared" si="100"/>
        <v>47.917058668082895</v>
      </c>
      <c r="BE93" s="69">
        <f t="shared" si="101"/>
        <v>46.15863449677709</v>
      </c>
      <c r="BF93" s="69">
        <f t="shared" si="102"/>
        <v>45.279422411124195</v>
      </c>
      <c r="BG93" s="69">
        <f t="shared" si="103"/>
        <v>44.400210325471299</v>
      </c>
      <c r="BH93" s="69">
        <f t="shared" si="104"/>
        <v>43.081392196991956</v>
      </c>
      <c r="BI93" s="69">
        <f t="shared" si="105"/>
        <v>41.322968025686166</v>
      </c>
      <c r="BJ93" s="51">
        <f t="shared" si="106"/>
        <v>286.01377517516295</v>
      </c>
      <c r="BK93" s="52"/>
    </row>
    <row r="94" spans="2:63" x14ac:dyDescent="0.35">
      <c r="B94" s="2" t="s">
        <v>24</v>
      </c>
      <c r="C94" s="75">
        <f t="shared" si="72"/>
        <v>25.872316621215298</v>
      </c>
      <c r="D94" s="13">
        <f t="shared" si="73"/>
        <v>70.502062792811685</v>
      </c>
      <c r="E94" s="69">
        <f t="shared" si="74"/>
        <v>67.91483113069016</v>
      </c>
      <c r="F94" s="69">
        <f t="shared" si="75"/>
        <v>66.621215299629384</v>
      </c>
      <c r="G94" s="69">
        <f t="shared" si="76"/>
        <v>65.327599468568636</v>
      </c>
      <c r="H94" s="69">
        <f t="shared" si="77"/>
        <v>63.387175721977485</v>
      </c>
      <c r="I94" s="14">
        <f t="shared" si="78"/>
        <v>60.799944059855946</v>
      </c>
      <c r="J94" s="55">
        <f t="shared" si="79"/>
        <v>420.43754208082856</v>
      </c>
      <c r="K94" s="55"/>
      <c r="L94" s="98" t="s">
        <v>24</v>
      </c>
      <c r="M94" s="69">
        <f t="shared" si="107"/>
        <v>0</v>
      </c>
      <c r="N94" s="13">
        <f t="shared" si="109"/>
        <v>0</v>
      </c>
      <c r="O94" s="69">
        <f t="shared" si="110"/>
        <v>22.892725775208227</v>
      </c>
      <c r="P94" s="69">
        <f t="shared" si="111"/>
        <v>37.00519387387353</v>
      </c>
      <c r="Q94" s="69">
        <f t="shared" si="112"/>
        <v>36.688763742139109</v>
      </c>
      <c r="R94" s="69">
        <f t="shared" si="113"/>
        <v>36.592953767906074</v>
      </c>
      <c r="S94" s="69">
        <f t="shared" si="114"/>
        <v>35.142569141571165</v>
      </c>
      <c r="T94" s="13">
        <f>SUM(Table19[[#This Row],[2026]:[2032]])</f>
        <v>168.3222063006981</v>
      </c>
      <c r="U94" s="52"/>
      <c r="V94" s="29">
        <f t="shared" si="81"/>
        <v>192.89307714165096</v>
      </c>
      <c r="W94" s="93" t="s">
        <v>24</v>
      </c>
      <c r="X94" s="29">
        <f t="shared" si="108"/>
        <v>16.903035916334531</v>
      </c>
      <c r="Y94" s="29">
        <f t="shared" si="115"/>
        <v>23.371115071638357</v>
      </c>
      <c r="Z94" s="29">
        <f t="shared" si="116"/>
        <v>0</v>
      </c>
      <c r="AA94" s="29">
        <f t="shared" si="117"/>
        <v>0</v>
      </c>
      <c r="AB94" s="29">
        <f t="shared" si="118"/>
        <v>-8.9544502190185273</v>
      </c>
      <c r="AC94" s="29">
        <f t="shared" si="119"/>
        <v>-8.9544502190185273</v>
      </c>
      <c r="AD94" s="29">
        <f t="shared" si="120"/>
        <v>-8.9544502190185273</v>
      </c>
      <c r="AE94" s="51">
        <f>SUM(Table217[[#This Row],[2026]:[2032]])</f>
        <v>13.41080033091731</v>
      </c>
      <c r="AF94" s="55"/>
      <c r="AH94" s="93" t="s">
        <v>24</v>
      </c>
      <c r="AI94" s="69">
        <f t="shared" si="83"/>
        <v>9.7021187329557375</v>
      </c>
      <c r="AJ94" s="13">
        <f t="shared" si="84"/>
        <v>26.438273547304384</v>
      </c>
      <c r="AK94" s="69">
        <f t="shared" si="85"/>
        <v>25.468061674008808</v>
      </c>
      <c r="AL94" s="69">
        <f t="shared" si="86"/>
        <v>24.982955737361021</v>
      </c>
      <c r="AM94" s="69">
        <f t="shared" si="87"/>
        <v>24.497849800713237</v>
      </c>
      <c r="AN94" s="69">
        <f t="shared" si="88"/>
        <v>23.770190895741553</v>
      </c>
      <c r="AO94" s="69">
        <f t="shared" si="89"/>
        <v>22.799979022445982</v>
      </c>
      <c r="AP94" s="51">
        <f t="shared" si="90"/>
        <v>157.66407828031072</v>
      </c>
      <c r="AQ94" s="55"/>
      <c r="AR94" s="93" t="s">
        <v>24</v>
      </c>
      <c r="AS94" s="69">
        <f t="shared" si="91"/>
        <v>19.404237465911475</v>
      </c>
      <c r="AT94" s="13">
        <f>BN60/($N27*$AZ$70)</f>
        <v>52.876547094608767</v>
      </c>
      <c r="AU94" s="69">
        <f t="shared" si="93"/>
        <v>50.936123348017617</v>
      </c>
      <c r="AV94" s="69">
        <f t="shared" si="94"/>
        <v>49.965911474722041</v>
      </c>
      <c r="AW94" s="69">
        <f t="shared" si="95"/>
        <v>48.995699601426473</v>
      </c>
      <c r="AX94" s="69">
        <f t="shared" si="96"/>
        <v>47.540381791483107</v>
      </c>
      <c r="AY94" s="69">
        <f t="shared" si="97"/>
        <v>45.599958044891963</v>
      </c>
      <c r="AZ94" s="51">
        <f t="shared" si="98"/>
        <v>315.32815656062144</v>
      </c>
      <c r="BA94" s="55"/>
      <c r="BB94" s="98" t="s">
        <v>24</v>
      </c>
      <c r="BC94" s="69">
        <f t="shared" si="99"/>
        <v>30.313092115065551</v>
      </c>
      <c r="BD94" s="13">
        <f>BN60/($N27*$P27)</f>
        <v>82.603176013553622</v>
      </c>
      <c r="BE94" s="69">
        <f>BO60/($N27*$P27)</f>
        <v>79.571866802047069</v>
      </c>
      <c r="BF94" s="69">
        <f t="shared" si="102"/>
        <v>78.056212196293799</v>
      </c>
      <c r="BG94" s="69">
        <f t="shared" si="103"/>
        <v>76.540557590540516</v>
      </c>
      <c r="BH94" s="69">
        <f t="shared" si="104"/>
        <v>74.267075681910597</v>
      </c>
      <c r="BI94" s="69">
        <f t="shared" si="105"/>
        <v>71.235766470404045</v>
      </c>
      <c r="BJ94" s="51">
        <f t="shared" si="106"/>
        <v>492.60227169905619</v>
      </c>
      <c r="BK94" s="52"/>
    </row>
    <row r="95" spans="2:63" x14ac:dyDescent="0.35">
      <c r="B95" s="2" t="s">
        <v>25</v>
      </c>
      <c r="C95" s="75">
        <f t="shared" si="72"/>
        <v>23.102918586789553</v>
      </c>
      <c r="D95" s="13">
        <f t="shared" si="73"/>
        <v>62.955453149001535</v>
      </c>
      <c r="E95" s="69">
        <f t="shared" si="74"/>
        <v>60.645161290322584</v>
      </c>
      <c r="F95" s="69">
        <f t="shared" si="75"/>
        <v>59.490015360983108</v>
      </c>
      <c r="G95" s="69">
        <f t="shared" si="76"/>
        <v>58.334869431643625</v>
      </c>
      <c r="H95" s="69">
        <f t="shared" si="77"/>
        <v>56.602150537634408</v>
      </c>
      <c r="I95" s="14">
        <f t="shared" si="78"/>
        <v>54.291858678955457</v>
      </c>
      <c r="J95" s="55">
        <f t="shared" si="79"/>
        <v>376.17279861656198</v>
      </c>
      <c r="K95" s="55"/>
      <c r="L95" s="98" t="s">
        <v>25</v>
      </c>
      <c r="M95" s="69">
        <f t="shared" si="107"/>
        <v>0</v>
      </c>
      <c r="N95" s="13">
        <f t="shared" si="109"/>
        <v>3.8094802494081925</v>
      </c>
      <c r="O95" s="69">
        <f t="shared" si="110"/>
        <v>40.663570595606288</v>
      </c>
      <c r="P95" s="69">
        <f t="shared" si="111"/>
        <v>60.258725552007668</v>
      </c>
      <c r="Q95" s="69">
        <f t="shared" si="112"/>
        <v>59.651666415820245</v>
      </c>
      <c r="R95" s="69">
        <f t="shared" si="113"/>
        <v>59.271493143549122</v>
      </c>
      <c r="S95" s="69">
        <f t="shared" si="114"/>
        <v>56.912741237974799</v>
      </c>
      <c r="T95" s="13">
        <f>SUM(Table19[[#This Row],[2026]:[2032]])</f>
        <v>280.5676771943663</v>
      </c>
      <c r="U95" s="52"/>
      <c r="V95" s="29">
        <f t="shared" si="81"/>
        <v>192.89307714165096</v>
      </c>
      <c r="W95" s="93" t="s">
        <v>25</v>
      </c>
      <c r="X95" s="29">
        <f t="shared" si="108"/>
        <v>26.946676646599187</v>
      </c>
      <c r="Y95" s="29">
        <f t="shared" si="115"/>
        <v>28.912926043888376</v>
      </c>
      <c r="Z95" s="29">
        <f t="shared" si="116"/>
        <v>0</v>
      </c>
      <c r="AA95" s="29">
        <f t="shared" si="117"/>
        <v>0</v>
      </c>
      <c r="AB95" s="29">
        <f t="shared" si="118"/>
        <v>-12.537320418887573</v>
      </c>
      <c r="AC95" s="29">
        <f t="shared" si="119"/>
        <v>-12.537320418887573</v>
      </c>
      <c r="AD95" s="29">
        <f t="shared" si="120"/>
        <v>-12.537320418887573</v>
      </c>
      <c r="AE95" s="51">
        <f>SUM(Table217[[#This Row],[2026]:[2032]])</f>
        <v>18.247641433824839</v>
      </c>
      <c r="AF95" s="55"/>
      <c r="AH95" s="93" t="s">
        <v>25</v>
      </c>
      <c r="AI95" s="69">
        <f t="shared" si="83"/>
        <v>8.6635944700460836</v>
      </c>
      <c r="AJ95" s="13">
        <f t="shared" si="84"/>
        <v>23.608294930875573</v>
      </c>
      <c r="AK95" s="69">
        <f t="shared" si="85"/>
        <v>22.741935483870968</v>
      </c>
      <c r="AL95" s="69">
        <f t="shared" si="86"/>
        <v>22.308755760368665</v>
      </c>
      <c r="AM95" s="69">
        <f t="shared" si="87"/>
        <v>21.875576036866356</v>
      </c>
      <c r="AN95" s="69">
        <f t="shared" si="88"/>
        <v>21.225806451612904</v>
      </c>
      <c r="AO95" s="69">
        <f t="shared" si="89"/>
        <v>20.359447004608299</v>
      </c>
      <c r="AP95" s="51">
        <f t="shared" si="90"/>
        <v>141.06479948121074</v>
      </c>
      <c r="AQ95" s="55"/>
      <c r="AR95" s="93" t="s">
        <v>25</v>
      </c>
      <c r="AS95" s="69">
        <f t="shared" si="91"/>
        <v>17.327188940092167</v>
      </c>
      <c r="AT95" s="13">
        <f t="shared" si="92"/>
        <v>47.216589861751146</v>
      </c>
      <c r="AU95" s="69">
        <f t="shared" si="93"/>
        <v>45.483870967741936</v>
      </c>
      <c r="AV95" s="69">
        <f t="shared" si="94"/>
        <v>44.617511520737331</v>
      </c>
      <c r="AW95" s="69">
        <f t="shared" si="95"/>
        <v>43.751152073732712</v>
      </c>
      <c r="AX95" s="69">
        <f t="shared" si="96"/>
        <v>42.451612903225808</v>
      </c>
      <c r="AY95" s="69">
        <f t="shared" si="97"/>
        <v>40.718894009216598</v>
      </c>
      <c r="AZ95" s="51">
        <f t="shared" si="98"/>
        <v>282.12959896242148</v>
      </c>
      <c r="BA95" s="55"/>
      <c r="BB95" s="98" t="s">
        <v>25</v>
      </c>
      <c r="BC95" s="69">
        <f t="shared" si="99"/>
        <v>49.325283089570291</v>
      </c>
      <c r="BD95" s="13">
        <f t="shared" si="100"/>
        <v>134.41139641907904</v>
      </c>
      <c r="BE95" s="69">
        <f t="shared" si="101"/>
        <v>129.47886811012202</v>
      </c>
      <c r="BF95" s="69">
        <f t="shared" si="102"/>
        <v>127.0126039556435</v>
      </c>
      <c r="BG95" s="69">
        <f t="shared" si="103"/>
        <v>124.54633980116496</v>
      </c>
      <c r="BH95" s="69">
        <f t="shared" si="104"/>
        <v>120.84694356944722</v>
      </c>
      <c r="BI95" s="69">
        <f t="shared" si="105"/>
        <v>115.9144152604902</v>
      </c>
      <c r="BJ95" s="51">
        <f t="shared" si="106"/>
        <v>803.13791145711104</v>
      </c>
      <c r="BK95" s="52"/>
    </row>
    <row r="96" spans="2:63" x14ac:dyDescent="0.35">
      <c r="B96" s="2" t="s">
        <v>26</v>
      </c>
      <c r="C96" s="75">
        <f t="shared" si="72"/>
        <v>13.810420590081605</v>
      </c>
      <c r="D96" s="13">
        <f t="shared" si="73"/>
        <v>37.633396107972374</v>
      </c>
      <c r="E96" s="69">
        <f t="shared" si="74"/>
        <v>36.252354048964214</v>
      </c>
      <c r="F96" s="69">
        <f t="shared" si="75"/>
        <v>35.561833019460138</v>
      </c>
      <c r="G96" s="69">
        <f t="shared" si="76"/>
        <v>34.871311989956055</v>
      </c>
      <c r="H96" s="69">
        <f t="shared" si="77"/>
        <v>33.835530445699931</v>
      </c>
      <c r="I96" s="14">
        <f t="shared" si="78"/>
        <v>32.454488386691771</v>
      </c>
      <c r="J96" s="55">
        <f t="shared" si="79"/>
        <v>224.57406624826297</v>
      </c>
      <c r="K96" s="55"/>
      <c r="L96" s="98" t="s">
        <v>26</v>
      </c>
      <c r="M96" s="69">
        <f t="shared" si="107"/>
        <v>0</v>
      </c>
      <c r="N96" s="13">
        <f t="shared" si="109"/>
        <v>17.709968107902608</v>
      </c>
      <c r="O96" s="69">
        <f t="shared" si="110"/>
        <v>68.379600150964578</v>
      </c>
      <c r="P96" s="69">
        <f t="shared" si="111"/>
        <v>95.33486915320789</v>
      </c>
      <c r="Q96" s="69">
        <f t="shared" si="112"/>
        <v>94.264743187201773</v>
      </c>
      <c r="R96" s="69">
        <f t="shared" si="113"/>
        <v>93.395369724119391</v>
      </c>
      <c r="S96" s="69">
        <f t="shared" si="114"/>
        <v>89.667231953587816</v>
      </c>
      <c r="T96" s="13">
        <f>SUM(Table19[[#This Row],[2026]:[2032]])</f>
        <v>458.75178227698404</v>
      </c>
      <c r="U96" s="52"/>
      <c r="V96" s="29">
        <f t="shared" si="81"/>
        <v>192.89307714165096</v>
      </c>
      <c r="W96" s="93" t="s">
        <v>26</v>
      </c>
      <c r="X96" s="29">
        <f t="shared" si="108"/>
        <v>41.941348033957382</v>
      </c>
      <c r="Y96" s="29">
        <f t="shared" si="115"/>
        <v>27.683985073575172</v>
      </c>
      <c r="Z96" s="29">
        <f t="shared" si="116"/>
        <v>0</v>
      </c>
      <c r="AA96" s="29">
        <f t="shared" si="117"/>
        <v>0</v>
      </c>
      <c r="AB96" s="29">
        <f t="shared" si="118"/>
        <v>-17.39231922661984</v>
      </c>
      <c r="AC96" s="29">
        <f t="shared" si="119"/>
        <v>-17.39231922661984</v>
      </c>
      <c r="AD96" s="29">
        <f t="shared" si="120"/>
        <v>-17.39231922661984</v>
      </c>
      <c r="AE96" s="51">
        <f>SUM(Table217[[#This Row],[2026]:[2032]])</f>
        <v>17.448375427673035</v>
      </c>
      <c r="AF96" s="55"/>
      <c r="AH96" s="93" t="s">
        <v>26</v>
      </c>
      <c r="AI96" s="69">
        <f t="shared" si="83"/>
        <v>5.1789077212806021</v>
      </c>
      <c r="AJ96" s="13">
        <f t="shared" si="84"/>
        <v>14.112523540489638</v>
      </c>
      <c r="AK96" s="69">
        <f t="shared" si="85"/>
        <v>13.594632768361581</v>
      </c>
      <c r="AL96" s="69">
        <f t="shared" si="86"/>
        <v>13.33568738229755</v>
      </c>
      <c r="AM96" s="69">
        <f t="shared" si="87"/>
        <v>13.076741996233521</v>
      </c>
      <c r="AN96" s="69">
        <f t="shared" si="88"/>
        <v>12.688323917137474</v>
      </c>
      <c r="AO96" s="69">
        <f t="shared" si="89"/>
        <v>12.170433145009413</v>
      </c>
      <c r="AP96" s="51">
        <f t="shared" si="90"/>
        <v>84.215274843098612</v>
      </c>
      <c r="AQ96" s="55"/>
      <c r="AR96" s="93" t="s">
        <v>26</v>
      </c>
      <c r="AS96" s="69">
        <f t="shared" si="91"/>
        <v>10.357815442561204</v>
      </c>
      <c r="AT96" s="13">
        <f t="shared" si="92"/>
        <v>28.225047080979277</v>
      </c>
      <c r="AU96" s="69">
        <f t="shared" si="93"/>
        <v>27.189265536723163</v>
      </c>
      <c r="AV96" s="69">
        <f t="shared" si="94"/>
        <v>26.6713747645951</v>
      </c>
      <c r="AW96" s="69">
        <f t="shared" si="95"/>
        <v>26.153483992467041</v>
      </c>
      <c r="AX96" s="69">
        <f t="shared" si="96"/>
        <v>25.376647834274948</v>
      </c>
      <c r="AY96" s="69">
        <f t="shared" si="97"/>
        <v>24.340866290018827</v>
      </c>
      <c r="AZ96" s="51">
        <f t="shared" si="98"/>
        <v>168.43054968619722</v>
      </c>
      <c r="BA96" s="55"/>
      <c r="BB96" s="98" t="s">
        <v>26</v>
      </c>
      <c r="BC96" s="69">
        <f t="shared" si="99"/>
        <v>37.687378235930126</v>
      </c>
      <c r="BD96" s="13">
        <f t="shared" si="100"/>
        <v>102.69810569290958</v>
      </c>
      <c r="BE96" s="69">
        <f t="shared" si="101"/>
        <v>98.929367869316593</v>
      </c>
      <c r="BF96" s="69">
        <f t="shared" si="102"/>
        <v>97.044998957520079</v>
      </c>
      <c r="BG96" s="69">
        <f t="shared" si="103"/>
        <v>95.160630045723565</v>
      </c>
      <c r="BH96" s="69">
        <f t="shared" si="104"/>
        <v>92.334076678028794</v>
      </c>
      <c r="BI96" s="69">
        <f t="shared" si="105"/>
        <v>88.56533885443578</v>
      </c>
      <c r="BJ96" s="51">
        <f t="shared" si="106"/>
        <v>612.84214492044703</v>
      </c>
      <c r="BK96" s="52"/>
    </row>
    <row r="97" spans="2:63" x14ac:dyDescent="0.35">
      <c r="B97" s="2" t="s">
        <v>27</v>
      </c>
      <c r="C97" s="75">
        <f t="shared" si="72"/>
        <v>11.539832716303307</v>
      </c>
      <c r="D97" s="13">
        <f t="shared" si="73"/>
        <v>31.446044151926507</v>
      </c>
      <c r="E97" s="69">
        <f t="shared" si="74"/>
        <v>30.292060880296177</v>
      </c>
      <c r="F97" s="69">
        <f t="shared" si="75"/>
        <v>29.715069244481011</v>
      </c>
      <c r="G97" s="69">
        <f t="shared" si="76"/>
        <v>29.138077608665846</v>
      </c>
      <c r="H97" s="69">
        <f t="shared" si="77"/>
        <v>28.272590154943099</v>
      </c>
      <c r="I97" s="14">
        <f t="shared" si="78"/>
        <v>27.118606883312768</v>
      </c>
      <c r="J97" s="55">
        <f t="shared" si="79"/>
        <v>187.5163754454677</v>
      </c>
      <c r="K97" s="55"/>
      <c r="L97" s="98" t="s">
        <v>27</v>
      </c>
      <c r="M97" s="69">
        <f t="shared" si="107"/>
        <v>0</v>
      </c>
      <c r="N97" s="13">
        <f t="shared" si="109"/>
        <v>10.264640399764406</v>
      </c>
      <c r="O97" s="69">
        <f t="shared" si="110"/>
        <v>44.190443975156064</v>
      </c>
      <c r="P97" s="69">
        <f t="shared" si="111"/>
        <v>62.236472565301675</v>
      </c>
      <c r="Q97" s="69">
        <f t="shared" si="112"/>
        <v>61.550049920726195</v>
      </c>
      <c r="R97" s="69">
        <f t="shared" si="113"/>
        <v>61.012242303625122</v>
      </c>
      <c r="S97" s="69">
        <f t="shared" si="114"/>
        <v>58.578038412032846</v>
      </c>
      <c r="T97" s="13">
        <f>SUM(Table19[[#This Row],[2026]:[2032]])</f>
        <v>297.83188757660633</v>
      </c>
      <c r="U97" s="52"/>
      <c r="V97" s="29">
        <f t="shared" si="81"/>
        <v>192.89307714165096</v>
      </c>
      <c r="W97" s="93" t="s">
        <v>27</v>
      </c>
      <c r="X97" s="29">
        <f t="shared" si="108"/>
        <v>27.456809181798583</v>
      </c>
      <c r="Y97" s="29">
        <f t="shared" si="115"/>
        <v>20.077126961110004</v>
      </c>
      <c r="Z97" s="29">
        <f t="shared" si="116"/>
        <v>0</v>
      </c>
      <c r="AA97" s="29">
        <f t="shared" si="117"/>
        <v>0</v>
      </c>
      <c r="AB97" s="29">
        <f t="shared" si="118"/>
        <v>-11.625198222557247</v>
      </c>
      <c r="AC97" s="29">
        <f t="shared" si="119"/>
        <v>-11.625198222557247</v>
      </c>
      <c r="AD97" s="29">
        <f t="shared" si="120"/>
        <v>-11.625198222557247</v>
      </c>
      <c r="AE97" s="51">
        <f>SUM(Table217[[#This Row],[2026]:[2032]])</f>
        <v>12.658341475236851</v>
      </c>
      <c r="AF97" s="55"/>
      <c r="AH97" s="93" t="s">
        <v>27</v>
      </c>
      <c r="AI97" s="69">
        <f t="shared" si="83"/>
        <v>4.3274372686137399</v>
      </c>
      <c r="AJ97" s="13">
        <f t="shared" si="84"/>
        <v>11.792266556972441</v>
      </c>
      <c r="AK97" s="69">
        <f t="shared" si="85"/>
        <v>11.359522830111064</v>
      </c>
      <c r="AL97" s="69">
        <f t="shared" si="86"/>
        <v>11.143150966680379</v>
      </c>
      <c r="AM97" s="69">
        <f t="shared" si="87"/>
        <v>10.926779103249691</v>
      </c>
      <c r="AN97" s="69">
        <f t="shared" si="88"/>
        <v>10.602221308103662</v>
      </c>
      <c r="AO97" s="69">
        <f t="shared" si="89"/>
        <v>10.169477581242287</v>
      </c>
      <c r="AP97" s="51">
        <f t="shared" si="90"/>
        <v>70.318640792050374</v>
      </c>
      <c r="AQ97" s="55"/>
      <c r="AR97" s="93" t="s">
        <v>27</v>
      </c>
      <c r="AS97" s="69">
        <f t="shared" si="91"/>
        <v>8.6548745372274798</v>
      </c>
      <c r="AT97" s="13">
        <f t="shared" si="92"/>
        <v>23.584533113944882</v>
      </c>
      <c r="AU97" s="69">
        <f t="shared" si="93"/>
        <v>22.719045660222129</v>
      </c>
      <c r="AV97" s="69">
        <f t="shared" si="94"/>
        <v>22.286301933360757</v>
      </c>
      <c r="AW97" s="69">
        <f t="shared" si="95"/>
        <v>21.853558206499383</v>
      </c>
      <c r="AX97" s="69">
        <f t="shared" si="96"/>
        <v>21.204442616207324</v>
      </c>
      <c r="AY97" s="69">
        <f t="shared" si="97"/>
        <v>20.338955162484574</v>
      </c>
      <c r="AZ97" s="51">
        <f t="shared" si="98"/>
        <v>140.63728158410075</v>
      </c>
      <c r="BA97" s="55"/>
      <c r="BB97" s="98" t="s">
        <v>27</v>
      </c>
      <c r="BC97" s="69">
        <f t="shared" si="99"/>
        <v>16.324712639075774</v>
      </c>
      <c r="BD97" s="13">
        <f t="shared" si="100"/>
        <v>44.484841941481477</v>
      </c>
      <c r="BE97" s="69">
        <f t="shared" si="101"/>
        <v>42.852370677573894</v>
      </c>
      <c r="BF97" s="69">
        <f t="shared" si="102"/>
        <v>42.036135045620107</v>
      </c>
      <c r="BG97" s="69">
        <f t="shared" si="103"/>
        <v>41.219899413666319</v>
      </c>
      <c r="BH97" s="69">
        <f t="shared" si="104"/>
        <v>39.995545965735637</v>
      </c>
      <c r="BI97" s="69">
        <f t="shared" si="105"/>
        <v>38.363074701828062</v>
      </c>
      <c r="BJ97" s="51">
        <f t="shared" si="106"/>
        <v>265.26822524416275</v>
      </c>
      <c r="BK97" s="52"/>
    </row>
    <row r="98" spans="2:63" x14ac:dyDescent="0.35">
      <c r="B98" s="2" t="s">
        <v>28</v>
      </c>
      <c r="C98" s="75">
        <f t="shared" si="72"/>
        <v>3.1336871367197374</v>
      </c>
      <c r="D98" s="16">
        <f t="shared" si="73"/>
        <v>8.5392974475612835</v>
      </c>
      <c r="E98" s="83">
        <f t="shared" si="74"/>
        <v>8.2259287338893099</v>
      </c>
      <c r="F98" s="83">
        <f t="shared" si="75"/>
        <v>8.0692443770533231</v>
      </c>
      <c r="G98" s="83">
        <f t="shared" si="76"/>
        <v>7.9125600202173363</v>
      </c>
      <c r="H98" s="83">
        <f t="shared" si="77"/>
        <v>7.677533484963357</v>
      </c>
      <c r="I98" s="17">
        <f t="shared" si="78"/>
        <v>7.3641647712913825</v>
      </c>
      <c r="J98" s="62">
        <f t="shared" si="79"/>
        <v>50.595935183268317</v>
      </c>
      <c r="K98" s="62"/>
      <c r="L98" s="98" t="s">
        <v>28</v>
      </c>
      <c r="M98" s="69">
        <f t="shared" si="107"/>
        <v>0</v>
      </c>
      <c r="N98" s="13">
        <f t="shared" si="109"/>
        <v>11.583399224555722</v>
      </c>
      <c r="O98" s="69">
        <f t="shared" si="110"/>
        <v>37.119109463043422</v>
      </c>
      <c r="P98" s="69">
        <f t="shared" si="111"/>
        <v>50.70669599077241</v>
      </c>
      <c r="Q98" s="69">
        <f t="shared" si="112"/>
        <v>50.117199465726486</v>
      </c>
      <c r="R98" s="69">
        <f t="shared" si="113"/>
        <v>49.605178415497249</v>
      </c>
      <c r="S98" s="69">
        <f t="shared" si="114"/>
        <v>47.622928553627432</v>
      </c>
      <c r="T98" s="16">
        <f>SUM(Table19[[#This Row],[2026]:[2032]])</f>
        <v>246.75451111322269</v>
      </c>
      <c r="U98" s="54"/>
      <c r="V98" s="29">
        <f t="shared" si="81"/>
        <v>192.89307714165096</v>
      </c>
      <c r="W98" s="93" t="s">
        <v>28</v>
      </c>
      <c r="X98" s="29">
        <f t="shared" si="108"/>
        <v>22.179817273706053</v>
      </c>
      <c r="Y98" s="29">
        <f t="shared" si="115"/>
        <v>11.379839833330267</v>
      </c>
      <c r="Z98" s="29">
        <f t="shared" si="116"/>
        <v>0</v>
      </c>
      <c r="AA98" s="29">
        <f t="shared" si="117"/>
        <v>0</v>
      </c>
      <c r="AB98" s="29">
        <f t="shared" si="118"/>
        <v>-8.798175884247506</v>
      </c>
      <c r="AC98" s="29">
        <f t="shared" si="119"/>
        <v>-8.798175884247506</v>
      </c>
      <c r="AD98" s="29">
        <f t="shared" si="120"/>
        <v>-8.798175884247506</v>
      </c>
      <c r="AE98" s="53">
        <f>SUM(Table217[[#This Row],[2026]:[2032]])</f>
        <v>7.1651294542938047</v>
      </c>
      <c r="AF98" s="62"/>
      <c r="AH98" s="93" t="s">
        <v>28</v>
      </c>
      <c r="AI98" s="69">
        <f t="shared" si="83"/>
        <v>1.1751326762699017</v>
      </c>
      <c r="AJ98" s="13">
        <f t="shared" si="84"/>
        <v>3.2022365428354815</v>
      </c>
      <c r="AK98" s="69">
        <f t="shared" si="85"/>
        <v>3.084723275208491</v>
      </c>
      <c r="AL98" s="69">
        <f t="shared" si="86"/>
        <v>3.0259666413949962</v>
      </c>
      <c r="AM98" s="69">
        <f t="shared" si="87"/>
        <v>2.9672100075815009</v>
      </c>
      <c r="AN98" s="69">
        <f t="shared" si="88"/>
        <v>2.8790750568612591</v>
      </c>
      <c r="AO98" s="69">
        <f t="shared" si="89"/>
        <v>2.7615617892342685</v>
      </c>
      <c r="AP98" s="53">
        <f t="shared" si="90"/>
        <v>18.973475693725621</v>
      </c>
      <c r="AQ98" s="62"/>
      <c r="AR98" s="93" t="s">
        <v>28</v>
      </c>
      <c r="AS98" s="69">
        <f t="shared" si="91"/>
        <v>2.3502653525398034</v>
      </c>
      <c r="AT98" s="13">
        <f t="shared" si="92"/>
        <v>6.4044730856709631</v>
      </c>
      <c r="AU98" s="69">
        <f t="shared" si="93"/>
        <v>6.169446550416982</v>
      </c>
      <c r="AV98" s="69">
        <f t="shared" si="94"/>
        <v>6.0519332827899923</v>
      </c>
      <c r="AW98" s="69">
        <f t="shared" si="95"/>
        <v>5.9344200151630018</v>
      </c>
      <c r="AX98" s="69">
        <f t="shared" si="96"/>
        <v>5.7581501137225182</v>
      </c>
      <c r="AY98" s="69">
        <f t="shared" si="97"/>
        <v>5.5231235784685371</v>
      </c>
      <c r="AZ98" s="53">
        <f t="shared" si="98"/>
        <v>37.946951387451243</v>
      </c>
      <c r="BA98" s="62"/>
      <c r="BB98" s="98" t="s">
        <v>28</v>
      </c>
      <c r="BC98" s="69">
        <f>BM64/($N31*$P31)</f>
        <v>6.400141634741022</v>
      </c>
      <c r="BD98" s="13">
        <f t="shared" si="100"/>
        <v>17.440385954669281</v>
      </c>
      <c r="BE98" s="69">
        <f t="shared" si="101"/>
        <v>16.800371791195179</v>
      </c>
      <c r="BF98" s="69">
        <f t="shared" si="102"/>
        <v>16.480364709458129</v>
      </c>
      <c r="BG98" s="69">
        <f t="shared" si="103"/>
        <v>16.160357627721073</v>
      </c>
      <c r="BH98" s="69">
        <f t="shared" si="104"/>
        <v>15.680347005115502</v>
      </c>
      <c r="BI98" s="69">
        <f t="shared" si="105"/>
        <v>15.040332841641399</v>
      </c>
      <c r="BJ98" s="53">
        <f t="shared" si="106"/>
        <v>103.3355077220827</v>
      </c>
      <c r="BK98" s="54"/>
    </row>
    <row r="99" spans="2:63" ht="15.6" thickBot="1" x14ac:dyDescent="0.4">
      <c r="B99" s="6" t="s">
        <v>29</v>
      </c>
      <c r="C99" s="80">
        <f t="shared" ref="C99:J99" si="121">AG65/$N4</f>
        <v>11.910702375626624</v>
      </c>
      <c r="D99" s="70">
        <f t="shared" si="121"/>
        <v>32.45666397358255</v>
      </c>
      <c r="E99" s="71">
        <f t="shared" si="121"/>
        <v>31.265593736019888</v>
      </c>
      <c r="F99" s="71">
        <f t="shared" si="121"/>
        <v>30.67005861723856</v>
      </c>
      <c r="G99" s="71">
        <f t="shared" si="121"/>
        <v>30.074523498457236</v>
      </c>
      <c r="H99" s="71">
        <f t="shared" si="121"/>
        <v>29.181220820285223</v>
      </c>
      <c r="I99" s="71">
        <f t="shared" si="121"/>
        <v>27.990150582722563</v>
      </c>
      <c r="J99" s="57">
        <f t="shared" si="121"/>
        <v>192.89307714165096</v>
      </c>
      <c r="K99" s="56"/>
      <c r="L99" s="99" t="s">
        <v>29</v>
      </c>
      <c r="M99" s="129">
        <f>AQ65/$N4</f>
        <v>0</v>
      </c>
      <c r="N99" s="71">
        <f t="shared" ref="N99:S99" si="122">AR65/$N4</f>
        <v>15.906625918579888</v>
      </c>
      <c r="O99" s="71">
        <f t="shared" si="122"/>
        <v>59.883716399318452</v>
      </c>
      <c r="P99" s="71">
        <f t="shared" si="122"/>
        <v>83.445884891433749</v>
      </c>
      <c r="Q99" s="71">
        <f t="shared" si="122"/>
        <v>82.508355731636598</v>
      </c>
      <c r="R99" s="71">
        <f t="shared" si="122"/>
        <v>81.745309195172894</v>
      </c>
      <c r="S99" s="71">
        <f t="shared" si="122"/>
        <v>78.482126890401787</v>
      </c>
      <c r="T99" s="117"/>
      <c r="U99" s="59"/>
      <c r="V99" s="55"/>
      <c r="W99" s="18" t="s">
        <v>29</v>
      </c>
      <c r="X99" s="113">
        <f>BW65/$N4</f>
        <v>36.705552044142443</v>
      </c>
      <c r="Y99" s="15">
        <f t="shared" ref="Y99:AD99" si="123">BX65/$N4</f>
        <v>23.776601719469216</v>
      </c>
      <c r="Z99" s="113">
        <f t="shared" si="123"/>
        <v>0</v>
      </c>
      <c r="AA99" s="113">
        <f t="shared" si="123"/>
        <v>0</v>
      </c>
      <c r="AB99" s="113">
        <f t="shared" si="123"/>
        <v>-15.204301777030311</v>
      </c>
      <c r="AC99" s="113">
        <f t="shared" si="123"/>
        <v>-15.204301777030311</v>
      </c>
      <c r="AD99" s="113">
        <f t="shared" si="123"/>
        <v>-15.204301777030311</v>
      </c>
      <c r="AE99" s="51">
        <f>SUM(Table217[[#This Row],[2026]:[2032]])</f>
        <v>14.869248432520733</v>
      </c>
      <c r="AF99" s="55"/>
      <c r="AH99" s="18" t="s">
        <v>29</v>
      </c>
      <c r="AI99" s="113">
        <f t="shared" ref="AI99:AP99" si="124">BM65/$N4</f>
        <v>4.4665133908599843</v>
      </c>
      <c r="AJ99" s="15">
        <f t="shared" si="124"/>
        <v>12.171248990093456</v>
      </c>
      <c r="AK99" s="113">
        <f t="shared" si="124"/>
        <v>11.724597651007459</v>
      </c>
      <c r="AL99" s="113">
        <f t="shared" si="124"/>
        <v>11.501271981464459</v>
      </c>
      <c r="AM99" s="113">
        <f t="shared" si="124"/>
        <v>11.277946311921463</v>
      </c>
      <c r="AN99" s="113">
        <f t="shared" si="124"/>
        <v>10.942957807606957</v>
      </c>
      <c r="AO99" s="113">
        <f t="shared" si="124"/>
        <v>10.496306468520961</v>
      </c>
      <c r="AP99" s="51">
        <f t="shared" si="124"/>
        <v>72.334903928119118</v>
      </c>
      <c r="AQ99" s="55"/>
      <c r="AR99" s="18" t="s">
        <v>29</v>
      </c>
      <c r="AS99" s="113">
        <f t="shared" ref="AS99:AZ99" si="125">BM65/($N4*$AZ$70)</f>
        <v>8.9330267817199687</v>
      </c>
      <c r="AT99" s="15">
        <f t="shared" si="125"/>
        <v>24.342497980186913</v>
      </c>
      <c r="AU99" s="113">
        <f t="shared" si="125"/>
        <v>23.449195302014918</v>
      </c>
      <c r="AV99" s="113">
        <f t="shared" si="125"/>
        <v>23.002543962928918</v>
      </c>
      <c r="AW99" s="113">
        <f t="shared" si="125"/>
        <v>22.555892623842926</v>
      </c>
      <c r="AX99" s="113">
        <f t="shared" si="125"/>
        <v>21.885915615213914</v>
      </c>
      <c r="AY99" s="113">
        <f t="shared" si="125"/>
        <v>20.992612937041923</v>
      </c>
      <c r="AZ99" s="51">
        <f t="shared" si="125"/>
        <v>144.66980785623824</v>
      </c>
      <c r="BA99" s="55"/>
      <c r="BB99" s="99" t="s">
        <v>29</v>
      </c>
      <c r="BC99" s="146">
        <f>BM65/($N4*$P4)</f>
        <v>20.871557901214878</v>
      </c>
      <c r="BD99" s="117">
        <f t="shared" ref="BD99:BJ99" si="126">BN65/($N4*$P4)</f>
        <v>56.874995280810545</v>
      </c>
      <c r="BE99" s="146">
        <f t="shared" si="126"/>
        <v>54.787839490689052</v>
      </c>
      <c r="BF99" s="146">
        <f t="shared" si="126"/>
        <v>53.744261595628309</v>
      </c>
      <c r="BG99" s="146">
        <f t="shared" si="126"/>
        <v>52.700683700567581</v>
      </c>
      <c r="BH99" s="146">
        <f t="shared" si="126"/>
        <v>51.135316857976434</v>
      </c>
      <c r="BI99" s="146">
        <f t="shared" si="126"/>
        <v>49.048161067854956</v>
      </c>
      <c r="BJ99" s="72">
        <f t="shared" si="126"/>
        <v>338.01356975756596</v>
      </c>
      <c r="BK99" s="59"/>
    </row>
    <row r="100" spans="2:63" ht="15.6" thickBot="1" x14ac:dyDescent="0.4">
      <c r="V100" s="5"/>
      <c r="W100" s="5"/>
      <c r="X100" s="5"/>
      <c r="Y100" s="5"/>
    </row>
    <row r="101" spans="2:63" ht="63.75" customHeight="1" x14ac:dyDescent="0.35">
      <c r="V101" s="5"/>
      <c r="W101" s="5"/>
      <c r="X101" s="5"/>
      <c r="Y101" s="5"/>
      <c r="AH101" s="360" t="s">
        <v>135</v>
      </c>
      <c r="AI101" s="361"/>
      <c r="AJ101" s="361"/>
      <c r="AK101" s="361"/>
      <c r="AL101" s="361"/>
      <c r="AM101" s="361"/>
      <c r="AN101" s="361"/>
      <c r="AO101" s="361"/>
      <c r="AP101" s="361"/>
      <c r="AQ101" s="362"/>
      <c r="AR101" s="358" t="s">
        <v>160</v>
      </c>
      <c r="AS101" s="359"/>
      <c r="AT101" s="359"/>
      <c r="AU101" s="359"/>
      <c r="AV101" s="359"/>
      <c r="AW101" s="359"/>
      <c r="AX101" s="359"/>
      <c r="AY101" s="359"/>
      <c r="AZ101" s="87">
        <f>Dashboard!E26</f>
        <v>0.5</v>
      </c>
      <c r="BA101" s="144" t="s">
        <v>58</v>
      </c>
      <c r="BB101" s="358" t="s">
        <v>161</v>
      </c>
      <c r="BC101" s="359"/>
      <c r="BD101" s="359"/>
      <c r="BE101" s="359"/>
      <c r="BF101" s="359"/>
      <c r="BG101" s="359"/>
      <c r="BH101" s="359"/>
      <c r="BI101" s="359"/>
      <c r="BJ101" s="359"/>
      <c r="BK101" s="363"/>
    </row>
    <row r="102" spans="2:63" ht="15.75" customHeight="1" x14ac:dyDescent="0.35">
      <c r="AH102" s="93" t="s">
        <v>60</v>
      </c>
      <c r="AI102" s="20" t="s">
        <v>72</v>
      </c>
      <c r="AJ102" s="19" t="s">
        <v>61</v>
      </c>
      <c r="AK102" s="20" t="s">
        <v>62</v>
      </c>
      <c r="AL102" s="20" t="s">
        <v>63</v>
      </c>
      <c r="AM102" s="20" t="s">
        <v>64</v>
      </c>
      <c r="AN102" s="20" t="s">
        <v>65</v>
      </c>
      <c r="AO102" s="20" t="s">
        <v>66</v>
      </c>
      <c r="AP102" s="25" t="s">
        <v>47</v>
      </c>
      <c r="AQ102" s="43" t="s">
        <v>46</v>
      </c>
      <c r="AR102" s="93" t="s">
        <v>60</v>
      </c>
      <c r="AS102" s="95" t="s">
        <v>72</v>
      </c>
      <c r="AT102" s="106" t="s">
        <v>61</v>
      </c>
      <c r="AU102" s="95" t="s">
        <v>62</v>
      </c>
      <c r="AV102" s="95" t="s">
        <v>63</v>
      </c>
      <c r="AW102" s="95" t="s">
        <v>64</v>
      </c>
      <c r="AX102" s="95" t="s">
        <v>65</v>
      </c>
      <c r="AY102" s="95" t="s">
        <v>66</v>
      </c>
      <c r="AZ102" s="108" t="s">
        <v>47</v>
      </c>
      <c r="BA102" s="105" t="s">
        <v>46</v>
      </c>
      <c r="BB102" s="98" t="s">
        <v>60</v>
      </c>
      <c r="BC102" s="95" t="s">
        <v>72</v>
      </c>
      <c r="BD102" s="106" t="s">
        <v>61</v>
      </c>
      <c r="BE102" s="95" t="s">
        <v>62</v>
      </c>
      <c r="BF102" s="95" t="s">
        <v>63</v>
      </c>
      <c r="BG102" s="95" t="s">
        <v>64</v>
      </c>
      <c r="BH102" s="95" t="s">
        <v>65</v>
      </c>
      <c r="BI102" s="95" t="s">
        <v>66</v>
      </c>
      <c r="BJ102" s="108" t="s">
        <v>47</v>
      </c>
      <c r="BK102" s="145" t="s">
        <v>46</v>
      </c>
    </row>
    <row r="103" spans="2:63" x14ac:dyDescent="0.35">
      <c r="AH103" s="93" t="s">
        <v>2</v>
      </c>
      <c r="AI103" s="128">
        <f>(AQ38+BW38)/$N5</f>
        <v>50.738755120521304</v>
      </c>
      <c r="AJ103" s="128">
        <f t="shared" ref="AJ103:AO118" si="127">(AR38+BX38)/$N5</f>
        <v>52.034525667220002</v>
      </c>
      <c r="AK103" s="128">
        <f t="shared" si="127"/>
        <v>85.370196074860729</v>
      </c>
      <c r="AL103" s="128">
        <f t="shared" si="127"/>
        <v>116.13559130270049</v>
      </c>
      <c r="AM103" s="128">
        <f t="shared" si="127"/>
        <v>94.839223908295494</v>
      </c>
      <c r="AN103" s="128">
        <f t="shared" si="127"/>
        <v>93.643028793170231</v>
      </c>
      <c r="AO103" s="128">
        <f t="shared" si="127"/>
        <v>89.103319901735588</v>
      </c>
      <c r="AP103" s="49"/>
      <c r="AQ103" s="61"/>
      <c r="AR103" s="93" t="s">
        <v>2</v>
      </c>
      <c r="AS103" s="29">
        <f>(BM38+AQ38+BW38)/($N5*$AZ$70)</f>
        <v>105.36482188113871</v>
      </c>
      <c r="AT103" s="29">
        <f t="shared" ref="AT103:AY118" si="128">(BN38+AR38+BX38)/($N5*$AZ$70)</f>
        <v>114.66197555370184</v>
      </c>
      <c r="AU103" s="29">
        <f t="shared" si="128"/>
        <v>180.94458520497372</v>
      </c>
      <c r="AV103" s="29">
        <f t="shared" si="128"/>
        <v>242.28101007864842</v>
      </c>
      <c r="AW103" s="29">
        <f t="shared" si="128"/>
        <v>199.49390970783361</v>
      </c>
      <c r="AX103" s="29">
        <f t="shared" si="128"/>
        <v>196.80997110457585</v>
      </c>
      <c r="AY103" s="29">
        <f t="shared" si="128"/>
        <v>187.34182215769701</v>
      </c>
      <c r="AZ103" s="49"/>
      <c r="BA103" s="61"/>
      <c r="BB103" s="98" t="s">
        <v>2</v>
      </c>
      <c r="BC103" s="128">
        <f>(AQ38+BW38)/($N5*$P5)</f>
        <v>286.25792740863062</v>
      </c>
      <c r="BD103" s="128">
        <f t="shared" ref="BD103:BI118" si="129">(AR38+BX38)/($N5*$P5)</f>
        <v>293.56840615833681</v>
      </c>
      <c r="BE103" s="128">
        <f t="shared" si="129"/>
        <v>481.64160379595387</v>
      </c>
      <c r="BF103" s="128">
        <f t="shared" si="129"/>
        <v>655.21382197335356</v>
      </c>
      <c r="BG103" s="128">
        <f t="shared" si="129"/>
        <v>535.06396852948228</v>
      </c>
      <c r="BH103" s="128">
        <f t="shared" si="129"/>
        <v>528.31527448646273</v>
      </c>
      <c r="BI103" s="128">
        <f t="shared" si="129"/>
        <v>502.70314318340252</v>
      </c>
      <c r="BJ103" s="49"/>
      <c r="BK103" s="50"/>
    </row>
    <row r="104" spans="2:63" x14ac:dyDescent="0.35">
      <c r="AH104" s="93" t="s">
        <v>3</v>
      </c>
      <c r="AI104" s="128">
        <f t="shared" ref="AI104:AI129" si="130">(AQ39+BW39)/$N6</f>
        <v>55.063833571696065</v>
      </c>
      <c r="AJ104" s="69">
        <f t="shared" si="127"/>
        <v>57.941044369698943</v>
      </c>
      <c r="AK104" s="69">
        <f t="shared" si="127"/>
        <v>91.295514981891642</v>
      </c>
      <c r="AL104" s="69">
        <f t="shared" si="127"/>
        <v>125.62485510868893</v>
      </c>
      <c r="AM104" s="69">
        <f t="shared" si="127"/>
        <v>101.9828222022827</v>
      </c>
      <c r="AN104" s="69">
        <f t="shared" si="127"/>
        <v>100.75842179899496</v>
      </c>
      <c r="AO104" s="69">
        <f t="shared" si="127"/>
        <v>95.846839133657326</v>
      </c>
      <c r="AP104" s="51"/>
      <c r="AQ104" s="55"/>
      <c r="AR104" s="93" t="s">
        <v>3</v>
      </c>
      <c r="AS104" s="29">
        <f t="shared" ref="AS104:AS129" si="131">(BM39+AQ39+BW39)/($N6*$AZ$70)</f>
        <v>118.75929953740076</v>
      </c>
      <c r="AT104" s="29">
        <f t="shared" si="128"/>
        <v>139.40328701307141</v>
      </c>
      <c r="AU104" s="29">
        <f t="shared" si="128"/>
        <v>205.24906499805593</v>
      </c>
      <c r="AV104" s="29">
        <f t="shared" si="128"/>
        <v>273.4761636319501</v>
      </c>
      <c r="AW104" s="29">
        <f t="shared" si="128"/>
        <v>225.76051619943721</v>
      </c>
      <c r="AX104" s="29">
        <f t="shared" si="128"/>
        <v>222.66434296331107</v>
      </c>
      <c r="AY104" s="29">
        <f t="shared" si="128"/>
        <v>211.97801439323493</v>
      </c>
      <c r="AZ104" s="51"/>
      <c r="BA104" s="55"/>
      <c r="BB104" s="98" t="s">
        <v>3</v>
      </c>
      <c r="BC104" s="69">
        <f t="shared" ref="BC104:BC129" si="132">(AQ39+BW39)/($N6*$P6)</f>
        <v>296.34980839891529</v>
      </c>
      <c r="BD104" s="69">
        <f t="shared" si="129"/>
        <v>311.83476128729768</v>
      </c>
      <c r="BE104" s="69">
        <f t="shared" si="129"/>
        <v>491.34625429477762</v>
      </c>
      <c r="BF104" s="69">
        <f t="shared" si="129"/>
        <v>676.1044287468186</v>
      </c>
      <c r="BG104" s="69">
        <f t="shared" si="129"/>
        <v>548.86461510667777</v>
      </c>
      <c r="BH104" s="69">
        <f t="shared" si="129"/>
        <v>542.27497538525472</v>
      </c>
      <c r="BI104" s="69">
        <f t="shared" si="129"/>
        <v>515.8411714272894</v>
      </c>
      <c r="BJ104" s="51"/>
      <c r="BK104" s="52"/>
    </row>
    <row r="105" spans="2:63" x14ac:dyDescent="0.35">
      <c r="AH105" s="93" t="s">
        <v>4</v>
      </c>
      <c r="AI105" s="128">
        <f t="shared" si="130"/>
        <v>17.139948105803558</v>
      </c>
      <c r="AJ105" s="69">
        <f t="shared" si="127"/>
        <v>25.104778723853727</v>
      </c>
      <c r="AK105" s="69">
        <f t="shared" si="127"/>
        <v>21.921406464306553</v>
      </c>
      <c r="AL105" s="69">
        <f t="shared" si="127"/>
        <v>37.131581572414113</v>
      </c>
      <c r="AM105" s="69">
        <f t="shared" si="127"/>
        <v>27.223837109889015</v>
      </c>
      <c r="AN105" s="69">
        <f t="shared" si="127"/>
        <v>27.19719129387305</v>
      </c>
      <c r="AO105" s="69">
        <f t="shared" si="127"/>
        <v>25.740912579294676</v>
      </c>
      <c r="AP105" s="51"/>
      <c r="AQ105" s="55"/>
      <c r="AR105" s="93" t="s">
        <v>4</v>
      </c>
      <c r="AS105" s="29">
        <f t="shared" si="131"/>
        <v>58.174388065757618</v>
      </c>
      <c r="AT105" s="29">
        <f t="shared" si="128"/>
        <v>115.32204775026757</v>
      </c>
      <c r="AU105" s="29">
        <f t="shared" si="128"/>
        <v>106.56585404575817</v>
      </c>
      <c r="AV105" s="29">
        <f t="shared" si="128"/>
        <v>135.79147966926575</v>
      </c>
      <c r="AW105" s="29">
        <f t="shared" si="128"/>
        <v>114.78126615150805</v>
      </c>
      <c r="AX105" s="29">
        <f t="shared" si="128"/>
        <v>112.93588763041483</v>
      </c>
      <c r="AY105" s="29">
        <f t="shared" si="128"/>
        <v>107.63388101584304</v>
      </c>
      <c r="AZ105" s="51"/>
      <c r="BA105" s="55"/>
      <c r="BB105" s="98" t="s">
        <v>4</v>
      </c>
      <c r="BC105" s="69">
        <f t="shared" si="132"/>
        <v>57.208624120990599</v>
      </c>
      <c r="BD105" s="69">
        <f t="shared" si="129"/>
        <v>83.793127072963046</v>
      </c>
      <c r="BE105" s="69">
        <f t="shared" si="129"/>
        <v>73.167870455531499</v>
      </c>
      <c r="BF105" s="69">
        <f t="shared" si="129"/>
        <v>123.93542151244166</v>
      </c>
      <c r="BG105" s="69">
        <f t="shared" si="129"/>
        <v>90.865984817268483</v>
      </c>
      <c r="BH105" s="69">
        <f t="shared" si="129"/>
        <v>90.777048114342392</v>
      </c>
      <c r="BI105" s="69">
        <f t="shared" si="129"/>
        <v>85.916374028082799</v>
      </c>
      <c r="BJ105" s="51"/>
      <c r="BK105" s="52"/>
    </row>
    <row r="106" spans="2:63" x14ac:dyDescent="0.35">
      <c r="AH106" s="93" t="s">
        <v>5</v>
      </c>
      <c r="AI106" s="128">
        <f t="shared" si="130"/>
        <v>24.634183495056586</v>
      </c>
      <c r="AJ106" s="69">
        <f t="shared" si="127"/>
        <v>31.33192214515153</v>
      </c>
      <c r="AK106" s="69">
        <f t="shared" si="127"/>
        <v>35.871112487129608</v>
      </c>
      <c r="AL106" s="69">
        <f t="shared" si="127"/>
        <v>54.691975924943492</v>
      </c>
      <c r="AM106" s="69">
        <f t="shared" si="127"/>
        <v>42.164516834526282</v>
      </c>
      <c r="AN106" s="69">
        <f t="shared" si="127"/>
        <v>41.888056318224095</v>
      </c>
      <c r="AO106" s="69">
        <f t="shared" si="127"/>
        <v>39.74627954717274</v>
      </c>
      <c r="AP106" s="51"/>
      <c r="AQ106" s="55"/>
      <c r="AR106" s="93" t="s">
        <v>5</v>
      </c>
      <c r="AS106" s="29">
        <f t="shared" si="131"/>
        <v>69.361582940398009</v>
      </c>
      <c r="AT106" s="29">
        <f t="shared" si="128"/>
        <v>117.4178577548292</v>
      </c>
      <c r="AU106" s="29">
        <f t="shared" si="128"/>
        <v>124.48691684375689</v>
      </c>
      <c r="AV106" s="29">
        <f t="shared" si="128"/>
        <v>161.12398292187041</v>
      </c>
      <c r="AW106" s="29">
        <f t="shared" si="128"/>
        <v>135.0644039435218</v>
      </c>
      <c r="AX106" s="29">
        <f t="shared" si="128"/>
        <v>133.00449171464604</v>
      </c>
      <c r="AY106" s="29">
        <f t="shared" si="128"/>
        <v>126.71161657751485</v>
      </c>
      <c r="AZ106" s="51"/>
      <c r="BA106" s="55"/>
      <c r="BB106" s="98" t="s">
        <v>5</v>
      </c>
      <c r="BC106" s="69">
        <f t="shared" si="132"/>
        <v>119.01184004364676</v>
      </c>
      <c r="BD106" s="69">
        <f t="shared" si="129"/>
        <v>151.36973008855969</v>
      </c>
      <c r="BE106" s="69">
        <f t="shared" si="129"/>
        <v>173.29931403501234</v>
      </c>
      <c r="BF106" s="69">
        <f t="shared" si="129"/>
        <v>264.22603743925725</v>
      </c>
      <c r="BG106" s="69">
        <f t="shared" si="129"/>
        <v>203.70379777496117</v>
      </c>
      <c r="BH106" s="69">
        <f t="shared" si="129"/>
        <v>202.36817101261516</v>
      </c>
      <c r="BI106" s="69">
        <f t="shared" si="129"/>
        <v>192.02089100080909</v>
      </c>
      <c r="BJ106" s="51"/>
      <c r="BK106" s="52"/>
    </row>
    <row r="107" spans="2:63" x14ac:dyDescent="0.35">
      <c r="AH107" s="93" t="s">
        <v>6</v>
      </c>
      <c r="AI107" s="128">
        <f t="shared" si="130"/>
        <v>32.669565596155799</v>
      </c>
      <c r="AJ107" s="69">
        <f t="shared" si="127"/>
        <v>35.430090095810726</v>
      </c>
      <c r="AK107" s="69">
        <f t="shared" si="127"/>
        <v>53.197828733358328</v>
      </c>
      <c r="AL107" s="69">
        <f t="shared" si="127"/>
        <v>74.239769185432138</v>
      </c>
      <c r="AM107" s="69">
        <f t="shared" si="127"/>
        <v>59.833074013354441</v>
      </c>
      <c r="AN107" s="69">
        <f t="shared" si="127"/>
        <v>59.159457763899624</v>
      </c>
      <c r="AO107" s="69">
        <f t="shared" si="127"/>
        <v>56.256213013933056</v>
      </c>
      <c r="AP107" s="51"/>
      <c r="AQ107" s="55"/>
      <c r="AR107" s="93" t="s">
        <v>6</v>
      </c>
      <c r="AS107" s="29">
        <f t="shared" si="131"/>
        <v>73.620704691276401</v>
      </c>
      <c r="AT107" s="29">
        <f t="shared" si="128"/>
        <v>93.427467976300548</v>
      </c>
      <c r="AU107" s="29">
        <f t="shared" si="128"/>
        <v>128.13478790149927</v>
      </c>
      <c r="AV107" s="29">
        <f t="shared" si="128"/>
        <v>169.80459013069864</v>
      </c>
      <c r="AW107" s="29">
        <f t="shared" si="128"/>
        <v>140.57712111159501</v>
      </c>
      <c r="AX107" s="29">
        <f t="shared" si="128"/>
        <v>138.608770600263</v>
      </c>
      <c r="AY107" s="29">
        <f t="shared" si="128"/>
        <v>131.97412375043342</v>
      </c>
      <c r="AZ107" s="51"/>
      <c r="BA107" s="55"/>
      <c r="BB107" s="98" t="s">
        <v>6</v>
      </c>
      <c r="BC107" s="69">
        <f t="shared" si="132"/>
        <v>195.62614129434613</v>
      </c>
      <c r="BD107" s="69">
        <f t="shared" si="129"/>
        <v>212.15622811862715</v>
      </c>
      <c r="BE107" s="69">
        <f t="shared" si="129"/>
        <v>318.54987265484033</v>
      </c>
      <c r="BF107" s="69">
        <f t="shared" si="129"/>
        <v>444.54951608043206</v>
      </c>
      <c r="BG107" s="69">
        <f t="shared" si="129"/>
        <v>358.2818803194877</v>
      </c>
      <c r="BH107" s="69">
        <f t="shared" si="129"/>
        <v>354.24825008323137</v>
      </c>
      <c r="BI107" s="69">
        <f t="shared" si="129"/>
        <v>336.86355098163511</v>
      </c>
      <c r="BJ107" s="51"/>
      <c r="BK107" s="52"/>
    </row>
    <row r="108" spans="2:63" x14ac:dyDescent="0.35">
      <c r="AH108" s="93" t="s">
        <v>7</v>
      </c>
      <c r="AI108" s="128">
        <f t="shared" si="130"/>
        <v>38.522228618908471</v>
      </c>
      <c r="AJ108" s="69">
        <f t="shared" si="127"/>
        <v>41.457739122531997</v>
      </c>
      <c r="AK108" s="69">
        <f t="shared" si="127"/>
        <v>63.021739985960032</v>
      </c>
      <c r="AL108" s="69">
        <f t="shared" si="127"/>
        <v>87.628770066604417</v>
      </c>
      <c r="AM108" s="69">
        <f t="shared" si="127"/>
        <v>70.756360383432465</v>
      </c>
      <c r="AN108" s="69">
        <f t="shared" si="127"/>
        <v>69.946043943916777</v>
      </c>
      <c r="AO108" s="69">
        <f t="shared" si="127"/>
        <v>66.519410440659712</v>
      </c>
      <c r="AP108" s="51"/>
      <c r="AQ108" s="55"/>
      <c r="AR108" s="93" t="s">
        <v>7</v>
      </c>
      <c r="AS108" s="29">
        <f t="shared" si="131"/>
        <v>85.850988748687513</v>
      </c>
      <c r="AT108" s="29">
        <f t="shared" si="128"/>
        <v>106.91327661218627</v>
      </c>
      <c r="AU108" s="29">
        <f t="shared" si="128"/>
        <v>149.16062518795528</v>
      </c>
      <c r="AV108" s="29">
        <f t="shared" si="128"/>
        <v>197.93435877370055</v>
      </c>
      <c r="AW108" s="29">
        <f t="shared" si="128"/>
        <v>163.74921283181311</v>
      </c>
      <c r="AX108" s="29">
        <f t="shared" si="128"/>
        <v>161.46809008946641</v>
      </c>
      <c r="AY108" s="29">
        <f t="shared" si="128"/>
        <v>153.73416993186524</v>
      </c>
      <c r="AZ108" s="51"/>
      <c r="BA108" s="55"/>
      <c r="BB108" s="98" t="s">
        <v>7</v>
      </c>
      <c r="BC108" s="69">
        <f t="shared" si="132"/>
        <v>321.26225537569445</v>
      </c>
      <c r="BD108" s="69">
        <f t="shared" si="129"/>
        <v>345.74341233062285</v>
      </c>
      <c r="BE108" s="69">
        <f t="shared" si="129"/>
        <v>525.57982887968728</v>
      </c>
      <c r="BF108" s="69">
        <f t="shared" si="129"/>
        <v>730.79407180448743</v>
      </c>
      <c r="BG108" s="69">
        <f t="shared" si="129"/>
        <v>590.0839264475826</v>
      </c>
      <c r="BH108" s="69">
        <f t="shared" si="129"/>
        <v>583.32616355950734</v>
      </c>
      <c r="BI108" s="69">
        <f t="shared" si="129"/>
        <v>554.74920819971442</v>
      </c>
      <c r="BJ108" s="51"/>
      <c r="BK108" s="52"/>
    </row>
    <row r="109" spans="2:63" x14ac:dyDescent="0.35">
      <c r="AH109" s="93" t="s">
        <v>8</v>
      </c>
      <c r="AI109" s="128">
        <f t="shared" si="130"/>
        <v>34.565623671418905</v>
      </c>
      <c r="AJ109" s="69">
        <f t="shared" si="127"/>
        <v>35.684004256331946</v>
      </c>
      <c r="AK109" s="69">
        <f t="shared" si="127"/>
        <v>57.941637448915955</v>
      </c>
      <c r="AL109" s="69">
        <f t="shared" si="127"/>
        <v>79.051281214292473</v>
      </c>
      <c r="AM109" s="69">
        <f t="shared" si="127"/>
        <v>64.45824228615389</v>
      </c>
      <c r="AN109" s="69">
        <f t="shared" si="127"/>
        <v>63.655153914969262</v>
      </c>
      <c r="AO109" s="69">
        <f t="shared" si="127"/>
        <v>60.564909943532719</v>
      </c>
      <c r="AP109" s="51"/>
      <c r="AQ109" s="55"/>
      <c r="AR109" s="93" t="s">
        <v>8</v>
      </c>
      <c r="AS109" s="29">
        <f t="shared" si="131"/>
        <v>72.486389097576946</v>
      </c>
      <c r="AT109" s="29">
        <f t="shared" si="128"/>
        <v>80.510769794328056</v>
      </c>
      <c r="AU109" s="29">
        <f t="shared" si="128"/>
        <v>124.69052200402214</v>
      </c>
      <c r="AV109" s="29">
        <f t="shared" si="128"/>
        <v>166.74205244703822</v>
      </c>
      <c r="AW109" s="29">
        <f t="shared" si="128"/>
        <v>137.38821750302409</v>
      </c>
      <c r="AX109" s="29">
        <f t="shared" si="128"/>
        <v>135.5304051290494</v>
      </c>
      <c r="AY109" s="29">
        <f t="shared" si="128"/>
        <v>129.01440301070241</v>
      </c>
      <c r="AZ109" s="51"/>
      <c r="BA109" s="55"/>
      <c r="BB109" s="98" t="s">
        <v>8</v>
      </c>
      <c r="BC109" s="69">
        <f t="shared" si="132"/>
        <v>192.61518768439211</v>
      </c>
      <c r="BD109" s="69">
        <f t="shared" si="129"/>
        <v>198.84730686480566</v>
      </c>
      <c r="BE109" s="69">
        <f t="shared" si="129"/>
        <v>322.87684081893548</v>
      </c>
      <c r="BF109" s="69">
        <f t="shared" si="129"/>
        <v>440.50926181820472</v>
      </c>
      <c r="BG109" s="69">
        <f t="shared" si="129"/>
        <v>359.19029130724476</v>
      </c>
      <c r="BH109" s="69">
        <f t="shared" si="129"/>
        <v>354.71512202306417</v>
      </c>
      <c r="BI109" s="69">
        <f t="shared" si="129"/>
        <v>337.49489396622215</v>
      </c>
      <c r="BJ109" s="51"/>
      <c r="BK109" s="52"/>
    </row>
    <row r="110" spans="2:63" x14ac:dyDescent="0.35">
      <c r="AH110" s="93" t="s">
        <v>9</v>
      </c>
      <c r="AI110" s="128">
        <f t="shared" si="130"/>
        <v>30.557875943676905</v>
      </c>
      <c r="AJ110" s="69">
        <f t="shared" si="127"/>
        <v>33.369997155798117</v>
      </c>
      <c r="AK110" s="69">
        <f t="shared" si="127"/>
        <v>49.547841372110994</v>
      </c>
      <c r="AL110" s="69">
        <f t="shared" si="127"/>
        <v>69.376897459705773</v>
      </c>
      <c r="AM110" s="69">
        <f t="shared" si="127"/>
        <v>55.818489198325324</v>
      </c>
      <c r="AN110" s="69">
        <f t="shared" si="127"/>
        <v>55.199948678703187</v>
      </c>
      <c r="AO110" s="69">
        <f t="shared" si="127"/>
        <v>52.486724764549031</v>
      </c>
      <c r="AP110" s="51"/>
      <c r="AQ110" s="55"/>
      <c r="AR110" s="93" t="s">
        <v>9</v>
      </c>
      <c r="AS110" s="29">
        <f t="shared" si="131"/>
        <v>69.552115523717447</v>
      </c>
      <c r="AT110" s="29">
        <f t="shared" si="128"/>
        <v>89.729085220687139</v>
      </c>
      <c r="AU110" s="29">
        <f t="shared" si="128"/>
        <v>121.24113728967653</v>
      </c>
      <c r="AV110" s="29">
        <f t="shared" si="128"/>
        <v>160.47743128304791</v>
      </c>
      <c r="AW110" s="29">
        <f t="shared" si="128"/>
        <v>132.93879657846881</v>
      </c>
      <c r="AX110" s="29">
        <f t="shared" si="128"/>
        <v>131.06898826649729</v>
      </c>
      <c r="AY110" s="29">
        <f t="shared" si="128"/>
        <v>124.7989040745526</v>
      </c>
      <c r="AZ110" s="51"/>
      <c r="BA110" s="55"/>
      <c r="BB110" s="98" t="s">
        <v>9</v>
      </c>
      <c r="BC110" s="69">
        <f t="shared" si="132"/>
        <v>126.45219160739404</v>
      </c>
      <c r="BD110" s="69">
        <f t="shared" si="129"/>
        <v>138.08908976725942</v>
      </c>
      <c r="BE110" s="69">
        <f t="shared" si="129"/>
        <v>205.03496847971857</v>
      </c>
      <c r="BF110" s="69">
        <f t="shared" si="129"/>
        <v>287.09000412433898</v>
      </c>
      <c r="BG110" s="69">
        <f t="shared" si="129"/>
        <v>230.98366864083101</v>
      </c>
      <c r="BH110" s="69">
        <f t="shared" si="129"/>
        <v>228.42407305740895</v>
      </c>
      <c r="BI110" s="69">
        <f t="shared" si="129"/>
        <v>217.19642389426812</v>
      </c>
      <c r="BJ110" s="51"/>
      <c r="BK110" s="52"/>
    </row>
    <row r="111" spans="2:63" x14ac:dyDescent="0.35">
      <c r="AH111" s="93" t="s">
        <v>10</v>
      </c>
      <c r="AI111" s="128">
        <f t="shared" si="130"/>
        <v>35.263192026950485</v>
      </c>
      <c r="AJ111" s="69">
        <f t="shared" si="127"/>
        <v>37.380727120930977</v>
      </c>
      <c r="AK111" s="69">
        <f t="shared" si="127"/>
        <v>58.213488665787651</v>
      </c>
      <c r="AL111" s="69">
        <f t="shared" si="127"/>
        <v>80.374164360290422</v>
      </c>
      <c r="AM111" s="69">
        <f t="shared" si="127"/>
        <v>65.134546363967942</v>
      </c>
      <c r="AN111" s="69">
        <f t="shared" si="127"/>
        <v>64.36422058518356</v>
      </c>
      <c r="AO111" s="69">
        <f t="shared" si="127"/>
        <v>61.221637688842343</v>
      </c>
      <c r="AP111" s="51"/>
      <c r="AQ111" s="55"/>
      <c r="AR111" s="93" t="s">
        <v>10</v>
      </c>
      <c r="AS111" s="29">
        <f t="shared" si="131"/>
        <v>76.878989335842434</v>
      </c>
      <c r="AT111" s="29">
        <f t="shared" si="128"/>
        <v>92.072303635152437</v>
      </c>
      <c r="AU111" s="29">
        <f t="shared" si="128"/>
        <v>133.10256619667166</v>
      </c>
      <c r="AV111" s="29">
        <f t="shared" si="128"/>
        <v>177.10628732158014</v>
      </c>
      <c r="AW111" s="29">
        <f t="shared" si="128"/>
        <v>146.30942106483812</v>
      </c>
      <c r="AX111" s="29">
        <f t="shared" si="128"/>
        <v>144.29232411112372</v>
      </c>
      <c r="AY111" s="29">
        <f t="shared" si="128"/>
        <v>137.37189779024712</v>
      </c>
      <c r="AZ111" s="51"/>
      <c r="BA111" s="55"/>
      <c r="BB111" s="98" t="s">
        <v>10</v>
      </c>
      <c r="BC111" s="69">
        <f t="shared" si="132"/>
        <v>223.14160981079817</v>
      </c>
      <c r="BD111" s="69">
        <f t="shared" si="129"/>
        <v>236.5411395340445</v>
      </c>
      <c r="BE111" s="69">
        <f t="shared" si="129"/>
        <v>368.36856866669353</v>
      </c>
      <c r="BF111" s="69">
        <f t="shared" si="129"/>
        <v>508.59889282983517</v>
      </c>
      <c r="BG111" s="69">
        <f t="shared" si="129"/>
        <v>412.16426235162862</v>
      </c>
      <c r="BH111" s="69">
        <f t="shared" si="129"/>
        <v>407.28972534926834</v>
      </c>
      <c r="BI111" s="69">
        <f t="shared" si="129"/>
        <v>387.40380560843704</v>
      </c>
      <c r="BJ111" s="51"/>
      <c r="BK111" s="52"/>
    </row>
    <row r="112" spans="2:63" x14ac:dyDescent="0.35">
      <c r="AH112" s="93" t="s">
        <v>11</v>
      </c>
      <c r="AI112" s="128">
        <f t="shared" si="130"/>
        <v>38.477477383248782</v>
      </c>
      <c r="AJ112" s="69">
        <f t="shared" si="127"/>
        <v>40.656629383482475</v>
      </c>
      <c r="AK112" s="69">
        <f t="shared" si="127"/>
        <v>63.640477173732101</v>
      </c>
      <c r="AL112" s="69">
        <f t="shared" si="127"/>
        <v>87.737030941201425</v>
      </c>
      <c r="AM112" s="69">
        <f t="shared" si="127"/>
        <v>71.155674016830488</v>
      </c>
      <c r="AN112" s="69">
        <f t="shared" si="127"/>
        <v>70.308543192338007</v>
      </c>
      <c r="AO112" s="69">
        <f t="shared" si="127"/>
        <v>66.878160925207453</v>
      </c>
      <c r="AP112" s="51"/>
      <c r="AQ112" s="55"/>
      <c r="AR112" s="93" t="s">
        <v>11</v>
      </c>
      <c r="AS112" s="29">
        <f t="shared" si="131"/>
        <v>83.492410767198635</v>
      </c>
      <c r="AT112" s="29">
        <f t="shared" si="128"/>
        <v>99.127826368875361</v>
      </c>
      <c r="AU112" s="29">
        <f t="shared" si="128"/>
        <v>144.44177634930452</v>
      </c>
      <c r="AV112" s="29">
        <f t="shared" si="128"/>
        <v>192.30801108420809</v>
      </c>
      <c r="AW112" s="29">
        <f t="shared" si="128"/>
        <v>158.81842443543118</v>
      </c>
      <c r="AX112" s="29">
        <f t="shared" si="128"/>
        <v>156.63385358639363</v>
      </c>
      <c r="AY112" s="29">
        <f t="shared" si="128"/>
        <v>149.11934345206242</v>
      </c>
      <c r="AZ112" s="51"/>
      <c r="BA112" s="55"/>
      <c r="BB112" s="98" t="s">
        <v>11</v>
      </c>
      <c r="BC112" s="69">
        <f t="shared" si="132"/>
        <v>188.75517978758282</v>
      </c>
      <c r="BD112" s="69">
        <f t="shared" si="129"/>
        <v>199.44523161950602</v>
      </c>
      <c r="BE112" s="69">
        <f t="shared" si="129"/>
        <v>312.19483520312605</v>
      </c>
      <c r="BF112" s="69">
        <f t="shared" si="129"/>
        <v>430.40293115850068</v>
      </c>
      <c r="BG112" s="69">
        <f t="shared" si="129"/>
        <v>349.06139787117849</v>
      </c>
      <c r="BH112" s="69">
        <f t="shared" si="129"/>
        <v>344.90571142926285</v>
      </c>
      <c r="BI112" s="69">
        <f t="shared" si="129"/>
        <v>328.07762222988481</v>
      </c>
      <c r="BJ112" s="51"/>
      <c r="BK112" s="52"/>
    </row>
    <row r="113" spans="34:63" x14ac:dyDescent="0.35">
      <c r="AH113" s="93" t="s">
        <v>12</v>
      </c>
      <c r="AI113" s="128">
        <f t="shared" si="130"/>
        <v>49.401648923121797</v>
      </c>
      <c r="AJ113" s="69">
        <f t="shared" si="127"/>
        <v>50.708525201240406</v>
      </c>
      <c r="AK113" s="69">
        <f t="shared" si="127"/>
        <v>83.078869075863366</v>
      </c>
      <c r="AL113" s="69">
        <f t="shared" si="127"/>
        <v>113.06247328714691</v>
      </c>
      <c r="AM113" s="69">
        <f t="shared" si="127"/>
        <v>92.311009423923409</v>
      </c>
      <c r="AN113" s="69">
        <f t="shared" si="127"/>
        <v>91.148606503377849</v>
      </c>
      <c r="AO113" s="69">
        <f t="shared" si="127"/>
        <v>86.728996015971234</v>
      </c>
      <c r="AP113" s="51"/>
      <c r="AQ113" s="55"/>
      <c r="AR113" s="93" t="s">
        <v>12</v>
      </c>
      <c r="AS113" s="29">
        <f t="shared" si="131"/>
        <v>102.72392668059942</v>
      </c>
      <c r="AT113" s="29">
        <f t="shared" si="128"/>
        <v>112.10076397610045</v>
      </c>
      <c r="AU113" s="29">
        <f t="shared" si="128"/>
        <v>176.44938884191077</v>
      </c>
      <c r="AV113" s="29">
        <f t="shared" si="128"/>
        <v>236.22056582276011</v>
      </c>
      <c r="AW113" s="29">
        <f t="shared" si="128"/>
        <v>194.5216066545953</v>
      </c>
      <c r="AX113" s="29">
        <f t="shared" si="128"/>
        <v>191.90275365092745</v>
      </c>
      <c r="AY113" s="29">
        <f t="shared" si="128"/>
        <v>182.67146979267869</v>
      </c>
      <c r="AZ113" s="51"/>
      <c r="BA113" s="55"/>
      <c r="BB113" s="98" t="s">
        <v>12</v>
      </c>
      <c r="BC113" s="69">
        <f t="shared" si="132"/>
        <v>231.66711759066766</v>
      </c>
      <c r="BD113" s="69">
        <f t="shared" si="129"/>
        <v>237.79566323639114</v>
      </c>
      <c r="BE113" s="69">
        <f t="shared" si="129"/>
        <v>389.59513601355889</v>
      </c>
      <c r="BF113" s="69">
        <f t="shared" si="129"/>
        <v>530.20208566046392</v>
      </c>
      <c r="BG113" s="69">
        <f t="shared" si="129"/>
        <v>432.88890029571718</v>
      </c>
      <c r="BH113" s="69">
        <f t="shared" si="129"/>
        <v>427.43785685988303</v>
      </c>
      <c r="BI113" s="69">
        <f t="shared" si="129"/>
        <v>406.71226480354665</v>
      </c>
      <c r="BJ113" s="51"/>
      <c r="BK113" s="52"/>
    </row>
    <row r="114" spans="34:63" x14ac:dyDescent="0.35">
      <c r="AH114" s="93" t="s">
        <v>13</v>
      </c>
      <c r="AI114" s="128">
        <f t="shared" si="130"/>
        <v>20.691436087778193</v>
      </c>
      <c r="AJ114" s="69">
        <f t="shared" si="127"/>
        <v>27.767678756752332</v>
      </c>
      <c r="AK114" s="69">
        <f t="shared" si="127"/>
        <v>28.79689275002313</v>
      </c>
      <c r="AL114" s="69">
        <f t="shared" si="127"/>
        <v>45.533761586034466</v>
      </c>
      <c r="AM114" s="69">
        <f t="shared" si="127"/>
        <v>34.488416949972418</v>
      </c>
      <c r="AN114" s="69">
        <f t="shared" si="127"/>
        <v>34.328937598655948</v>
      </c>
      <c r="AO114" s="69">
        <f t="shared" si="127"/>
        <v>32.544846403322744</v>
      </c>
      <c r="AP114" s="51"/>
      <c r="AQ114" s="55"/>
      <c r="AR114" s="93" t="s">
        <v>13</v>
      </c>
      <c r="AS114" s="29">
        <f t="shared" si="131"/>
        <v>62.611600182478803</v>
      </c>
      <c r="AT114" s="29">
        <f t="shared" si="128"/>
        <v>113.38364133236824</v>
      </c>
      <c r="AU114" s="29">
        <f t="shared" si="128"/>
        <v>113.31919651821758</v>
      </c>
      <c r="AV114" s="29">
        <f t="shared" si="128"/>
        <v>145.73149778989412</v>
      </c>
      <c r="AW114" s="29">
        <f t="shared" si="128"/>
        <v>122.57937211742392</v>
      </c>
      <c r="AX114" s="29">
        <f t="shared" si="128"/>
        <v>120.66825881427181</v>
      </c>
      <c r="AY114" s="29">
        <f t="shared" si="128"/>
        <v>114.97720362291314</v>
      </c>
      <c r="AZ114" s="51"/>
      <c r="BA114" s="55"/>
      <c r="BB114" s="98" t="s">
        <v>13</v>
      </c>
      <c r="BC114" s="69">
        <f t="shared" si="132"/>
        <v>79.411843249187839</v>
      </c>
      <c r="BD114" s="69">
        <f t="shared" si="129"/>
        <v>106.56981678171168</v>
      </c>
      <c r="BE114" s="69">
        <f t="shared" si="129"/>
        <v>110.51984615409381</v>
      </c>
      <c r="BF114" s="69">
        <f t="shared" si="129"/>
        <v>174.7544212144789</v>
      </c>
      <c r="BG114" s="69">
        <f t="shared" si="129"/>
        <v>132.36339658229727</v>
      </c>
      <c r="BH114" s="69">
        <f t="shared" si="129"/>
        <v>131.75132938722686</v>
      </c>
      <c r="BI114" s="69">
        <f t="shared" si="129"/>
        <v>124.9041502090865</v>
      </c>
      <c r="BJ114" s="51"/>
      <c r="BK114" s="52"/>
    </row>
    <row r="115" spans="34:63" x14ac:dyDescent="0.35">
      <c r="AH115" s="93" t="s">
        <v>14</v>
      </c>
      <c r="AI115" s="128">
        <f t="shared" si="130"/>
        <v>28.247732126214014</v>
      </c>
      <c r="AJ115" s="69">
        <f t="shared" si="127"/>
        <v>34.27103242181478</v>
      </c>
      <c r="AK115" s="69">
        <f t="shared" si="127"/>
        <v>42.655674441371168</v>
      </c>
      <c r="AL115" s="69">
        <f t="shared" si="127"/>
        <v>63.176904386332716</v>
      </c>
      <c r="AM115" s="69">
        <f t="shared" si="127"/>
        <v>49.409163078352357</v>
      </c>
      <c r="AN115" s="69">
        <f t="shared" si="127"/>
        <v>49.009064723459218</v>
      </c>
      <c r="AO115" s="69">
        <f t="shared" si="127"/>
        <v>46.536104875889137</v>
      </c>
      <c r="AP115" s="51"/>
      <c r="AQ115" s="55"/>
      <c r="AR115" s="93" t="s">
        <v>14</v>
      </c>
      <c r="AS115" s="29">
        <f t="shared" si="131"/>
        <v>74.565365139230323</v>
      </c>
      <c r="AT115" s="29">
        <f t="shared" si="128"/>
        <v>117.78254476016582</v>
      </c>
      <c r="AU115" s="29">
        <f t="shared" si="128"/>
        <v>132.74483871059834</v>
      </c>
      <c r="AV115" s="29">
        <f t="shared" si="128"/>
        <v>172.88380355618133</v>
      </c>
      <c r="AW115" s="29">
        <f t="shared" si="128"/>
        <v>144.44482589588048</v>
      </c>
      <c r="AX115" s="29">
        <f t="shared" si="128"/>
        <v>142.28938661958406</v>
      </c>
      <c r="AY115" s="29">
        <f t="shared" si="128"/>
        <v>135.53647683576366</v>
      </c>
      <c r="AZ115" s="51"/>
      <c r="BA115" s="55"/>
      <c r="BB115" s="98" t="s">
        <v>14</v>
      </c>
      <c r="BC115" s="69">
        <f t="shared" si="132"/>
        <v>143.21130748611156</v>
      </c>
      <c r="BD115" s="69">
        <f t="shared" si="129"/>
        <v>173.74843899317392</v>
      </c>
      <c r="BE115" s="69">
        <f t="shared" si="129"/>
        <v>216.25718061740284</v>
      </c>
      <c r="BF115" s="69">
        <f t="shared" si="129"/>
        <v>320.29640608548215</v>
      </c>
      <c r="BG115" s="69">
        <f t="shared" si="129"/>
        <v>250.49624566776592</v>
      </c>
      <c r="BH115" s="69">
        <f t="shared" si="129"/>
        <v>248.46781349943214</v>
      </c>
      <c r="BI115" s="69">
        <f t="shared" si="129"/>
        <v>235.93031804497372</v>
      </c>
      <c r="BJ115" s="51"/>
      <c r="BK115" s="52"/>
    </row>
    <row r="116" spans="34:63" x14ac:dyDescent="0.35">
      <c r="AH116" s="93" t="s">
        <v>15</v>
      </c>
      <c r="AI116" s="128">
        <f t="shared" si="130"/>
        <v>48.649267976317148</v>
      </c>
      <c r="AJ116" s="69">
        <f t="shared" si="127"/>
        <v>51.190374104867225</v>
      </c>
      <c r="AK116" s="69">
        <f t="shared" si="127"/>
        <v>80.661056365108237</v>
      </c>
      <c r="AL116" s="69">
        <f t="shared" si="127"/>
        <v>110.99066511261138</v>
      </c>
      <c r="AM116" s="69">
        <f t="shared" si="127"/>
        <v>90.103104662963574</v>
      </c>
      <c r="AN116" s="69">
        <f t="shared" si="127"/>
        <v>89.0212920732138</v>
      </c>
      <c r="AO116" s="69">
        <f t="shared" si="127"/>
        <v>84.681866157796648</v>
      </c>
      <c r="AP116" s="51"/>
      <c r="AQ116" s="55"/>
      <c r="AR116" s="93" t="s">
        <v>15</v>
      </c>
      <c r="AS116" s="29">
        <f t="shared" si="131"/>
        <v>104.9218543382845</v>
      </c>
      <c r="AT116" s="29">
        <f t="shared" si="128"/>
        <v>123.1542908106313</v>
      </c>
      <c r="AU116" s="29">
        <f t="shared" si="128"/>
        <v>181.33332349254832</v>
      </c>
      <c r="AV116" s="29">
        <f t="shared" si="128"/>
        <v>241.61137506827205</v>
      </c>
      <c r="AW116" s="29">
        <f t="shared" si="128"/>
        <v>199.45508824969394</v>
      </c>
      <c r="AX116" s="29">
        <f t="shared" si="128"/>
        <v>196.71971419127064</v>
      </c>
      <c r="AY116" s="29">
        <f t="shared" si="128"/>
        <v>187.27853052187135</v>
      </c>
      <c r="AZ116" s="51"/>
      <c r="BA116" s="55"/>
      <c r="BB116" s="98" t="s">
        <v>15</v>
      </c>
      <c r="BC116" s="69">
        <f t="shared" si="132"/>
        <v>253.45917588414778</v>
      </c>
      <c r="BD116" s="69">
        <f t="shared" si="129"/>
        <v>266.69815546118883</v>
      </c>
      <c r="BE116" s="69">
        <f t="shared" si="129"/>
        <v>420.2382835893352</v>
      </c>
      <c r="BF116" s="69">
        <f t="shared" si="129"/>
        <v>578.25335674054963</v>
      </c>
      <c r="BG116" s="69">
        <f t="shared" si="129"/>
        <v>469.43067393316835</v>
      </c>
      <c r="BH116" s="69">
        <f t="shared" si="129"/>
        <v>463.79450839841553</v>
      </c>
      <c r="BI116" s="69">
        <f t="shared" si="129"/>
        <v>441.1864124889895</v>
      </c>
      <c r="BJ116" s="51"/>
      <c r="BK116" s="52"/>
    </row>
    <row r="117" spans="34:63" x14ac:dyDescent="0.35">
      <c r="AH117" s="93" t="s">
        <v>16</v>
      </c>
      <c r="AI117" s="128">
        <f t="shared" si="130"/>
        <v>37.425366008651032</v>
      </c>
      <c r="AJ117" s="69">
        <f t="shared" si="127"/>
        <v>39.869505218319055</v>
      </c>
      <c r="AK117" s="69">
        <f t="shared" si="127"/>
        <v>61.60204144064376</v>
      </c>
      <c r="AL117" s="69">
        <f t="shared" si="127"/>
        <v>85.247437732752559</v>
      </c>
      <c r="AM117" s="69">
        <f t="shared" si="127"/>
        <v>69.002459510501566</v>
      </c>
      <c r="AN117" s="69">
        <f t="shared" si="127"/>
        <v>68.194767601990264</v>
      </c>
      <c r="AO117" s="69">
        <f t="shared" si="127"/>
        <v>64.861516155454495</v>
      </c>
      <c r="AP117" s="51"/>
      <c r="AQ117" s="55"/>
      <c r="AR117" s="93" t="s">
        <v>16</v>
      </c>
      <c r="AS117" s="29">
        <f t="shared" si="131"/>
        <v>82.183149646306148</v>
      </c>
      <c r="AT117" s="29">
        <f t="shared" si="128"/>
        <v>99.719848475674254</v>
      </c>
      <c r="AU117" s="29">
        <f t="shared" si="128"/>
        <v>142.45167915742326</v>
      </c>
      <c r="AV117" s="29">
        <f t="shared" si="128"/>
        <v>189.37585086019064</v>
      </c>
      <c r="AW117" s="29">
        <f t="shared" si="128"/>
        <v>156.51927353423841</v>
      </c>
      <c r="AX117" s="29">
        <f t="shared" si="128"/>
        <v>154.35395839504054</v>
      </c>
      <c r="AY117" s="29">
        <f t="shared" si="128"/>
        <v>146.95421373906856</v>
      </c>
      <c r="AZ117" s="51"/>
      <c r="BA117" s="55"/>
      <c r="BB117" s="98" t="s">
        <v>16</v>
      </c>
      <c r="BC117" s="69">
        <f t="shared" si="132"/>
        <v>164.10137776111569</v>
      </c>
      <c r="BD117" s="69">
        <f t="shared" si="129"/>
        <v>174.81835008554867</v>
      </c>
      <c r="BE117" s="69">
        <f t="shared" si="129"/>
        <v>270.11038104397568</v>
      </c>
      <c r="BF117" s="69">
        <f t="shared" si="129"/>
        <v>373.78985096140275</v>
      </c>
      <c r="BG117" s="69">
        <f t="shared" si="129"/>
        <v>302.55946386633752</v>
      </c>
      <c r="BH117" s="69">
        <f t="shared" si="129"/>
        <v>299.01792589012717</v>
      </c>
      <c r="BI117" s="69">
        <f t="shared" si="129"/>
        <v>284.40240670791502</v>
      </c>
      <c r="BJ117" s="51"/>
      <c r="BK117" s="52"/>
    </row>
    <row r="118" spans="34:63" x14ac:dyDescent="0.35">
      <c r="AH118" s="93" t="s">
        <v>17</v>
      </c>
      <c r="AI118" s="128">
        <f t="shared" si="130"/>
        <v>25.693079499694271</v>
      </c>
      <c r="AJ118" s="69">
        <f t="shared" si="127"/>
        <v>30.741968388583157</v>
      </c>
      <c r="AK118" s="69">
        <f t="shared" si="127"/>
        <v>39.192874144859474</v>
      </c>
      <c r="AL118" s="69">
        <f t="shared" si="127"/>
        <v>57.583219696218478</v>
      </c>
      <c r="AM118" s="69">
        <f t="shared" si="127"/>
        <v>45.215505281342075</v>
      </c>
      <c r="AN118" s="69">
        <f t="shared" si="127"/>
        <v>44.830045011233054</v>
      </c>
      <c r="AO118" s="69">
        <f t="shared" si="127"/>
        <v>42.576322399165612</v>
      </c>
      <c r="AP118" s="51"/>
      <c r="AQ118" s="55"/>
      <c r="AR118" s="93" t="s">
        <v>17</v>
      </c>
      <c r="AS118" s="29">
        <f t="shared" si="131"/>
        <v>66.532825666055217</v>
      </c>
      <c r="AT118" s="29">
        <f t="shared" si="128"/>
        <v>102.75860344383298</v>
      </c>
      <c r="AU118" s="29">
        <f t="shared" si="128"/>
        <v>118.14574828971895</v>
      </c>
      <c r="AV118" s="29">
        <f t="shared" si="128"/>
        <v>154.16910605910363</v>
      </c>
      <c r="AW118" s="29">
        <f t="shared" si="128"/>
        <v>128.6763438960175</v>
      </c>
      <c r="AX118" s="29">
        <f t="shared" si="128"/>
        <v>126.76942335579943</v>
      </c>
      <c r="AY118" s="29">
        <f t="shared" si="128"/>
        <v>120.74731146499789</v>
      </c>
      <c r="AZ118" s="51"/>
      <c r="BA118" s="55"/>
      <c r="BB118" s="98" t="s">
        <v>17</v>
      </c>
      <c r="BC118" s="69">
        <f t="shared" si="132"/>
        <v>100.32928576797659</v>
      </c>
      <c r="BD118" s="69">
        <f t="shared" si="129"/>
        <v>120.04476659035612</v>
      </c>
      <c r="BE118" s="69">
        <f t="shared" si="129"/>
        <v>153.04483334489885</v>
      </c>
      <c r="BF118" s="69">
        <f t="shared" si="129"/>
        <v>224.85756541604235</v>
      </c>
      <c r="BG118" s="69">
        <f t="shared" si="129"/>
        <v>176.56269465749344</v>
      </c>
      <c r="BH118" s="69">
        <f t="shared" si="129"/>
        <v>175.05750515335362</v>
      </c>
      <c r="BI118" s="69">
        <f t="shared" si="129"/>
        <v>166.2569104254793</v>
      </c>
      <c r="BJ118" s="51"/>
      <c r="BK118" s="52"/>
    </row>
    <row r="119" spans="34:63" x14ac:dyDescent="0.35">
      <c r="AH119" s="93" t="s">
        <v>18</v>
      </c>
      <c r="AI119" s="128">
        <f t="shared" si="130"/>
        <v>28.720634621996684</v>
      </c>
      <c r="AJ119" s="69">
        <f t="shared" ref="AJ119:AJ129" si="133">(AR54+BX54)/$N21</f>
        <v>33.4330393344014</v>
      </c>
      <c r="AK119" s="69">
        <f t="shared" ref="AK119:AK129" si="134">(AS54+BY54)/$N21</f>
        <v>44.66714798013048</v>
      </c>
      <c r="AL119" s="69">
        <f t="shared" ref="AL119:AL129" si="135">(AT54+BZ54)/$N21</f>
        <v>64.628413414714657</v>
      </c>
      <c r="AM119" s="69">
        <f t="shared" ref="AM119:AM129" si="136">(AU54+CA54)/$N21</f>
        <v>51.139139322918865</v>
      </c>
      <c r="AN119" s="69">
        <f t="shared" ref="AN119:AN129" si="137">(AV54+CB54)/$N21</f>
        <v>50.661553080053949</v>
      </c>
      <c r="AO119" s="69">
        <f t="shared" ref="AO119:AO129" si="138">(AW54+CC54)/$N21</f>
        <v>48.132700465060665</v>
      </c>
      <c r="AP119" s="51"/>
      <c r="AQ119" s="55"/>
      <c r="AR119" s="93" t="s">
        <v>18</v>
      </c>
      <c r="AS119" s="29">
        <f t="shared" si="131"/>
        <v>71.578483381207505</v>
      </c>
      <c r="AT119" s="29">
        <f t="shared" ref="AT119:AT129" si="139">(BN54+AR54+BX54)/($N21*$AZ$70)</f>
        <v>105.38998719271133</v>
      </c>
      <c r="AU119" s="29">
        <f t="shared" ref="AU119:AU129" si="140">(BO54+AS54+BY54)/($N21*$AZ$70)</f>
        <v>126.44448307044807</v>
      </c>
      <c r="AV119" s="29">
        <f t="shared" ref="AV119:AV129" si="141">(BP54+AT54+BZ54)/($N21*$AZ$70)</f>
        <v>165.66015323275573</v>
      </c>
      <c r="AW119" s="29">
        <f t="shared" ref="AW119:AW129" si="142">(BQ54+AU54+CA54)/($N21*$AZ$70)</f>
        <v>137.97474434230347</v>
      </c>
      <c r="AX119" s="29">
        <f t="shared" ref="AX119:AX129" si="143">(BR54+AV54+CB54)/($N21*$AZ$70)</f>
        <v>135.95928079628254</v>
      </c>
      <c r="AY119" s="29">
        <f t="shared" ref="AY119:AY129" si="144">(BS54+AW54+CC54)/($N21*$AZ$70)</f>
        <v>129.48785415257456</v>
      </c>
      <c r="AZ119" s="51"/>
      <c r="BA119" s="55"/>
      <c r="BB119" s="98" t="s">
        <v>18</v>
      </c>
      <c r="BC119" s="69">
        <f t="shared" si="132"/>
        <v>117.99907832421054</v>
      </c>
      <c r="BD119" s="69">
        <f t="shared" ref="BD119:BD129" si="145">(AR54+BX54)/($N21*$P21)</f>
        <v>137.36005067293942</v>
      </c>
      <c r="BE119" s="69">
        <f t="shared" ref="BE119:BE129" si="146">(AS54+BY54)/($N21*$P21)</f>
        <v>183.51552333003767</v>
      </c>
      <c r="BF119" s="69">
        <f t="shared" ref="BF119:BF129" si="147">(AT54+BZ54)/($N21*$P21)</f>
        <v>265.5266263041301</v>
      </c>
      <c r="BG119" s="69">
        <f t="shared" ref="BG119:BG129" si="148">(AU54+CA54)/($N21*$P21)</f>
        <v>210.10577885267855</v>
      </c>
      <c r="BH119" s="69">
        <f t="shared" ref="BH119:BH129" si="149">(AV54+CB54)/($N21*$P21)</f>
        <v>208.14360993753832</v>
      </c>
      <c r="BI119" s="69">
        <f t="shared" ref="BI119:BI129" si="150">(AW54+CC54)/($N21*$P21)</f>
        <v>197.75378806506356</v>
      </c>
      <c r="BJ119" s="51"/>
      <c r="BK119" s="52"/>
    </row>
    <row r="120" spans="34:63" x14ac:dyDescent="0.35">
      <c r="AH120" s="93" t="s">
        <v>19</v>
      </c>
      <c r="AI120" s="128">
        <f t="shared" si="130"/>
        <v>148.44867435962337</v>
      </c>
      <c r="AJ120" s="69">
        <f t="shared" si="133"/>
        <v>150.46582009840299</v>
      </c>
      <c r="AK120" s="69">
        <f t="shared" si="134"/>
        <v>251.40168535755112</v>
      </c>
      <c r="AL120" s="69">
        <f t="shared" si="135"/>
        <v>340.27806054298497</v>
      </c>
      <c r="AM120" s="69">
        <f t="shared" si="136"/>
        <v>278.60985579273034</v>
      </c>
      <c r="AN120" s="69">
        <f t="shared" si="137"/>
        <v>275.0211409285269</v>
      </c>
      <c r="AO120" s="69">
        <f t="shared" si="138"/>
        <v>261.72089828946247</v>
      </c>
      <c r="AP120" s="51"/>
      <c r="AQ120" s="55"/>
      <c r="AR120" s="93" t="s">
        <v>19</v>
      </c>
      <c r="AS120" s="29">
        <f t="shared" si="131"/>
        <v>302.94878593558565</v>
      </c>
      <c r="AT120" s="29">
        <f t="shared" si="139"/>
        <v>317.42180661132943</v>
      </c>
      <c r="AU120" s="29">
        <f t="shared" si="140"/>
        <v>518.68839340799173</v>
      </c>
      <c r="AV120" s="29">
        <f t="shared" si="141"/>
        <v>696.13857191804266</v>
      </c>
      <c r="AW120" s="29">
        <f t="shared" si="142"/>
        <v>572.49959055671638</v>
      </c>
      <c r="AX120" s="29">
        <f t="shared" si="143"/>
        <v>564.86830303708416</v>
      </c>
      <c r="AY120" s="29">
        <f t="shared" si="144"/>
        <v>537.66267403732127</v>
      </c>
      <c r="AZ120" s="51"/>
      <c r="BA120" s="55"/>
      <c r="BB120" s="98" t="s">
        <v>19</v>
      </c>
      <c r="BC120" s="69">
        <f t="shared" si="132"/>
        <v>693.68539420384764</v>
      </c>
      <c r="BD120" s="69">
        <f t="shared" si="145"/>
        <v>703.11130887104207</v>
      </c>
      <c r="BE120" s="69">
        <f t="shared" si="146"/>
        <v>1174.7742306427622</v>
      </c>
      <c r="BF120" s="69">
        <f t="shared" si="147"/>
        <v>1590.0843950606777</v>
      </c>
      <c r="BG120" s="69">
        <f t="shared" si="148"/>
        <v>1301.9152139847215</v>
      </c>
      <c r="BH120" s="69">
        <f t="shared" si="149"/>
        <v>1285.1455183576024</v>
      </c>
      <c r="BI120" s="69">
        <f t="shared" si="150"/>
        <v>1222.994851819918</v>
      </c>
      <c r="BJ120" s="51"/>
      <c r="BK120" s="52"/>
    </row>
    <row r="121" spans="34:63" x14ac:dyDescent="0.35">
      <c r="AH121" s="93" t="s">
        <v>20</v>
      </c>
      <c r="AI121" s="128">
        <f t="shared" si="130"/>
        <v>15.669474991922915</v>
      </c>
      <c r="AJ121" s="69">
        <f t="shared" si="133"/>
        <v>17.327260663918178</v>
      </c>
      <c r="AK121" s="69">
        <f t="shared" si="134"/>
        <v>25.208850060074077</v>
      </c>
      <c r="AL121" s="69">
        <f t="shared" si="135"/>
        <v>35.514901907740317</v>
      </c>
      <c r="AM121" s="69">
        <f t="shared" si="136"/>
        <v>28.48462330919762</v>
      </c>
      <c r="AN121" s="69">
        <f t="shared" si="137"/>
        <v>28.178268267434355</v>
      </c>
      <c r="AO121" s="69">
        <f t="shared" si="138"/>
        <v>26.78919582628712</v>
      </c>
      <c r="AP121" s="51"/>
      <c r="AQ121" s="55"/>
      <c r="AR121" s="93" t="s">
        <v>20</v>
      </c>
      <c r="AS121" s="29">
        <f t="shared" si="131"/>
        <v>36.31230699983162</v>
      </c>
      <c r="AT121" s="29">
        <f t="shared" si="139"/>
        <v>48.206919196397642</v>
      </c>
      <c r="AU121" s="29">
        <f t="shared" si="140"/>
        <v>63.472762287110854</v>
      </c>
      <c r="AV121" s="29">
        <f t="shared" si="141"/>
        <v>83.836198131644039</v>
      </c>
      <c r="AW121" s="29">
        <f t="shared" si="142"/>
        <v>69.526973083759358</v>
      </c>
      <c r="AX121" s="29">
        <f t="shared" si="143"/>
        <v>68.541261224033903</v>
      </c>
      <c r="AY121" s="29">
        <f t="shared" si="144"/>
        <v>65.265780640140846</v>
      </c>
      <c r="AZ121" s="51"/>
      <c r="BA121" s="55"/>
      <c r="BB121" s="98" t="s">
        <v>20</v>
      </c>
      <c r="BC121" s="69">
        <f t="shared" si="132"/>
        <v>79.068886515256608</v>
      </c>
      <c r="BD121" s="69">
        <f t="shared" si="145"/>
        <v>87.434148735795517</v>
      </c>
      <c r="BE121" s="69">
        <f t="shared" si="146"/>
        <v>127.2050088217737</v>
      </c>
      <c r="BF121" s="69">
        <f t="shared" si="147"/>
        <v>179.20981717582004</v>
      </c>
      <c r="BG121" s="69">
        <f t="shared" si="148"/>
        <v>143.73471025836776</v>
      </c>
      <c r="BH121" s="69">
        <f t="shared" si="149"/>
        <v>142.18882872481018</v>
      </c>
      <c r="BI121" s="69">
        <f t="shared" si="150"/>
        <v>135.17950574065429</v>
      </c>
      <c r="BJ121" s="51"/>
      <c r="BK121" s="52"/>
    </row>
    <row r="122" spans="34:63" x14ac:dyDescent="0.35">
      <c r="AH122" s="93" t="s">
        <v>21</v>
      </c>
      <c r="AI122" s="128">
        <f t="shared" si="130"/>
        <v>40.670266237764999</v>
      </c>
      <c r="AJ122" s="69">
        <f t="shared" si="133"/>
        <v>41.495100434944952</v>
      </c>
      <c r="AK122" s="69">
        <f t="shared" si="134"/>
        <v>68.626004186911516</v>
      </c>
      <c r="AL122" s="69">
        <f t="shared" si="135"/>
        <v>93.149543796407571</v>
      </c>
      <c r="AM122" s="69">
        <f t="shared" si="136"/>
        <v>76.156262773266846</v>
      </c>
      <c r="AN122" s="69">
        <f t="shared" si="137"/>
        <v>75.186716952431937</v>
      </c>
      <c r="AO122" s="69">
        <f t="shared" si="138"/>
        <v>71.545663224291573</v>
      </c>
      <c r="AP122" s="51"/>
      <c r="AQ122" s="55"/>
      <c r="AR122" s="93" t="s">
        <v>21</v>
      </c>
      <c r="AS122" s="29">
        <f t="shared" si="131"/>
        <v>83.815035067069871</v>
      </c>
      <c r="AT122" s="29">
        <f t="shared" si="139"/>
        <v>89.733220431836074</v>
      </c>
      <c r="AU122" s="29">
        <f t="shared" si="140"/>
        <v>143.74757767661521</v>
      </c>
      <c r="AV122" s="29">
        <f t="shared" si="141"/>
        <v>192.67093176603032</v>
      </c>
      <c r="AW122" s="29">
        <f t="shared" si="142"/>
        <v>158.5606445901719</v>
      </c>
      <c r="AX122" s="29">
        <f t="shared" si="143"/>
        <v>156.43596525413659</v>
      </c>
      <c r="AY122" s="29">
        <f t="shared" si="144"/>
        <v>148.90640753870187</v>
      </c>
      <c r="AZ122" s="51"/>
      <c r="BA122" s="55"/>
      <c r="BB122" s="98" t="s">
        <v>21</v>
      </c>
      <c r="BC122" s="69">
        <f t="shared" si="132"/>
        <v>238.56988934402727</v>
      </c>
      <c r="BD122" s="69">
        <f t="shared" si="145"/>
        <v>243.40832836476002</v>
      </c>
      <c r="BE122" s="69">
        <f t="shared" si="146"/>
        <v>402.55694736002664</v>
      </c>
      <c r="BF122" s="69">
        <f t="shared" si="147"/>
        <v>546.41088961744663</v>
      </c>
      <c r="BG122" s="69">
        <f t="shared" si="148"/>
        <v>446.72909384109744</v>
      </c>
      <c r="BH122" s="69">
        <f t="shared" si="149"/>
        <v>441.04178316950498</v>
      </c>
      <c r="BI122" s="69">
        <f t="shared" si="150"/>
        <v>419.68353142018373</v>
      </c>
      <c r="BJ122" s="51"/>
      <c r="BK122" s="52"/>
    </row>
    <row r="123" spans="34:63" x14ac:dyDescent="0.35">
      <c r="AH123" s="93" t="s">
        <v>22</v>
      </c>
      <c r="AI123" s="128">
        <f t="shared" si="130"/>
        <v>33.091073946049519</v>
      </c>
      <c r="AJ123" s="69">
        <f t="shared" si="133"/>
        <v>39.499054794924945</v>
      </c>
      <c r="AK123" s="69">
        <f t="shared" si="134"/>
        <v>50.564963781927176</v>
      </c>
      <c r="AL123" s="69">
        <f t="shared" si="135"/>
        <v>74.189984722069994</v>
      </c>
      <c r="AM123" s="69">
        <f t="shared" si="136"/>
        <v>58.295275479837485</v>
      </c>
      <c r="AN123" s="69">
        <f t="shared" si="137"/>
        <v>57.794079665066711</v>
      </c>
      <c r="AO123" s="69">
        <f t="shared" si="138"/>
        <v>54.890454521848604</v>
      </c>
      <c r="AP123" s="51"/>
      <c r="AQ123" s="55"/>
      <c r="AR123" s="93" t="s">
        <v>22</v>
      </c>
      <c r="AS123" s="29">
        <f t="shared" si="131"/>
        <v>85.406090438725286</v>
      </c>
      <c r="AT123" s="29">
        <f t="shared" si="139"/>
        <v>131.38335302940641</v>
      </c>
      <c r="AU123" s="29">
        <f t="shared" si="140"/>
        <v>151.59277674874826</v>
      </c>
      <c r="AV123" s="29">
        <f t="shared" si="141"/>
        <v>197.88162150170257</v>
      </c>
      <c r="AW123" s="29">
        <f t="shared" si="142"/>
        <v>165.13100588990625</v>
      </c>
      <c r="AX123" s="29">
        <f t="shared" si="143"/>
        <v>162.68681856936772</v>
      </c>
      <c r="AY123" s="29">
        <f t="shared" si="144"/>
        <v>154.95717402826889</v>
      </c>
      <c r="AZ123" s="51"/>
      <c r="BA123" s="55"/>
      <c r="BB123" s="98" t="s">
        <v>22</v>
      </c>
      <c r="BC123" s="69">
        <f t="shared" si="132"/>
        <v>202.75891753302079</v>
      </c>
      <c r="BD123" s="69">
        <f>(AR58+BX58)/($N25*$P25)</f>
        <v>242.02253474316635</v>
      </c>
      <c r="BE123" s="69">
        <f t="shared" si="146"/>
        <v>309.82667223902297</v>
      </c>
      <c r="BF123" s="69">
        <f t="shared" si="147"/>
        <v>454.58424886914526</v>
      </c>
      <c r="BG123" s="69">
        <f t="shared" si="148"/>
        <v>357.19260646698297</v>
      </c>
      <c r="BH123" s="69">
        <f t="shared" si="149"/>
        <v>354.1216296518852</v>
      </c>
      <c r="BI123" s="69">
        <f t="shared" si="150"/>
        <v>336.33024905419234</v>
      </c>
      <c r="BJ123" s="51"/>
      <c r="BK123" s="52"/>
    </row>
    <row r="124" spans="34:63" x14ac:dyDescent="0.35">
      <c r="AH124" s="93" t="s">
        <v>23</v>
      </c>
      <c r="AI124" s="128">
        <f t="shared" si="130"/>
        <v>24.139141575263434</v>
      </c>
      <c r="AJ124" s="69">
        <f t="shared" si="133"/>
        <v>26.495031299574212</v>
      </c>
      <c r="AK124" s="69">
        <f t="shared" si="134"/>
        <v>39.016665719290302</v>
      </c>
      <c r="AL124" s="69">
        <f t="shared" si="135"/>
        <v>54.766649122685031</v>
      </c>
      <c r="AM124" s="69">
        <f t="shared" si="136"/>
        <v>44.007732665840649</v>
      </c>
      <c r="AN124" s="69">
        <f t="shared" si="137"/>
        <v>43.525859958078705</v>
      </c>
      <c r="AO124" s="69">
        <f t="shared" si="138"/>
        <v>41.383933699951328</v>
      </c>
      <c r="AP124" s="51"/>
      <c r="AQ124" s="55"/>
      <c r="AR124" s="93" t="s">
        <v>23</v>
      </c>
      <c r="AS124" s="29">
        <f t="shared" si="131"/>
        <v>55.345952323459208</v>
      </c>
      <c r="AT124" s="29">
        <f t="shared" si="139"/>
        <v>72.249461095389037</v>
      </c>
      <c r="AU124" s="29">
        <f t="shared" si="140"/>
        <v>96.585963017527959</v>
      </c>
      <c r="AV124" s="29">
        <f t="shared" si="141"/>
        <v>127.7325463656708</v>
      </c>
      <c r="AW124" s="29">
        <f t="shared" si="142"/>
        <v>105.86132999333543</v>
      </c>
      <c r="AX124" s="29">
        <f t="shared" si="143"/>
        <v>104.36750938984163</v>
      </c>
      <c r="AY124" s="29">
        <f t="shared" si="144"/>
        <v>99.376889956293638</v>
      </c>
      <c r="AZ124" s="51"/>
      <c r="BA124" s="55"/>
      <c r="BB124" s="98" t="s">
        <v>23</v>
      </c>
      <c r="BC124" s="69">
        <f t="shared" si="132"/>
        <v>120.11555431337464</v>
      </c>
      <c r="BD124" s="69">
        <f t="shared" si="145"/>
        <v>131.83838212207993</v>
      </c>
      <c r="BE124" s="69">
        <f t="shared" si="146"/>
        <v>194.14561266481374</v>
      </c>
      <c r="BF124" s="69">
        <f t="shared" si="147"/>
        <v>272.51699886455532</v>
      </c>
      <c r="BG124" s="69">
        <f t="shared" si="148"/>
        <v>218.98099345210733</v>
      </c>
      <c r="BH124" s="69">
        <f t="shared" si="149"/>
        <v>216.58321111088995</v>
      </c>
      <c r="BI124" s="69">
        <f t="shared" si="150"/>
        <v>205.92505829335195</v>
      </c>
      <c r="BJ124" s="51"/>
      <c r="BK124" s="52"/>
    </row>
    <row r="125" spans="34:63" x14ac:dyDescent="0.35">
      <c r="AH125" s="93" t="s">
        <v>24</v>
      </c>
      <c r="AI125" s="128">
        <f t="shared" si="130"/>
        <v>16.903035916334531</v>
      </c>
      <c r="AJ125" s="69">
        <f t="shared" si="133"/>
        <v>23.371115071638357</v>
      </c>
      <c r="AK125" s="69">
        <f t="shared" si="134"/>
        <v>22.892725775208227</v>
      </c>
      <c r="AL125" s="69">
        <f t="shared" si="135"/>
        <v>37.00519387387353</v>
      </c>
      <c r="AM125" s="69">
        <f t="shared" si="136"/>
        <v>27.734313523120584</v>
      </c>
      <c r="AN125" s="69">
        <f t="shared" si="137"/>
        <v>27.638503548887542</v>
      </c>
      <c r="AO125" s="69">
        <f t="shared" si="138"/>
        <v>26.18811892255264</v>
      </c>
      <c r="AP125" s="51"/>
      <c r="AQ125" s="55"/>
      <c r="AR125" s="93" t="s">
        <v>24</v>
      </c>
      <c r="AS125" s="29">
        <f t="shared" si="131"/>
        <v>53.21030929858054</v>
      </c>
      <c r="AT125" s="29">
        <f t="shared" si="139"/>
        <v>99.618777237885482</v>
      </c>
      <c r="AU125" s="29">
        <f t="shared" si="140"/>
        <v>96.721574898434071</v>
      </c>
      <c r="AV125" s="29">
        <f t="shared" si="141"/>
        <v>123.97629922246909</v>
      </c>
      <c r="AW125" s="29">
        <f t="shared" si="142"/>
        <v>104.46432664766763</v>
      </c>
      <c r="AX125" s="29">
        <f t="shared" si="143"/>
        <v>102.81738888925821</v>
      </c>
      <c r="AY125" s="29">
        <f t="shared" si="144"/>
        <v>97.976195889997243</v>
      </c>
      <c r="AZ125" s="51"/>
      <c r="BA125" s="55"/>
      <c r="BB125" s="98" t="s">
        <v>24</v>
      </c>
      <c r="BC125" s="69">
        <f t="shared" si="132"/>
        <v>52.811483641781123</v>
      </c>
      <c r="BD125" s="69">
        <f t="shared" si="145"/>
        <v>73.020211718491495</v>
      </c>
      <c r="BE125" s="69">
        <f t="shared" si="146"/>
        <v>71.52554243967819</v>
      </c>
      <c r="BF125" s="69">
        <f t="shared" si="147"/>
        <v>115.61823571838011</v>
      </c>
      <c r="BG125" s="69">
        <f t="shared" si="148"/>
        <v>86.652495574885691</v>
      </c>
      <c r="BH125" s="69">
        <f t="shared" si="149"/>
        <v>86.353148942010222</v>
      </c>
      <c r="BI125" s="69">
        <f t="shared" si="150"/>
        <v>81.821598258031855</v>
      </c>
      <c r="BJ125" s="51"/>
      <c r="BK125" s="52"/>
    </row>
    <row r="126" spans="34:63" x14ac:dyDescent="0.35">
      <c r="AH126" s="93" t="s">
        <v>25</v>
      </c>
      <c r="AI126" s="128">
        <f t="shared" si="130"/>
        <v>26.946676646599187</v>
      </c>
      <c r="AJ126" s="69">
        <f t="shared" si="133"/>
        <v>32.722406293296572</v>
      </c>
      <c r="AK126" s="69">
        <f t="shared" si="134"/>
        <v>40.663570595606288</v>
      </c>
      <c r="AL126" s="69">
        <f t="shared" si="135"/>
        <v>60.258725552007668</v>
      </c>
      <c r="AM126" s="69">
        <f t="shared" si="136"/>
        <v>47.114345996932677</v>
      </c>
      <c r="AN126" s="69">
        <f t="shared" si="137"/>
        <v>46.734172724661555</v>
      </c>
      <c r="AO126" s="69">
        <f t="shared" si="138"/>
        <v>44.375420819087232</v>
      </c>
      <c r="AP126" s="51"/>
      <c r="AQ126" s="55"/>
      <c r="AR126" s="93" t="s">
        <v>25</v>
      </c>
      <c r="AS126" s="29">
        <f t="shared" si="131"/>
        <v>71.220542233290544</v>
      </c>
      <c r="AT126" s="29">
        <f t="shared" si="139"/>
        <v>112.66140244834429</v>
      </c>
      <c r="AU126" s="29">
        <f t="shared" si="140"/>
        <v>126.81101215895451</v>
      </c>
      <c r="AV126" s="29">
        <f t="shared" si="141"/>
        <v>165.13496262475269</v>
      </c>
      <c r="AW126" s="29">
        <f t="shared" si="142"/>
        <v>137.97984406759807</v>
      </c>
      <c r="AX126" s="29">
        <f t="shared" si="143"/>
        <v>135.91995835254889</v>
      </c>
      <c r="AY126" s="29">
        <f t="shared" si="144"/>
        <v>129.46973564739108</v>
      </c>
      <c r="AZ126" s="51"/>
      <c r="BA126" s="55"/>
      <c r="BB126" s="98" t="s">
        <v>25</v>
      </c>
      <c r="BC126" s="69">
        <f t="shared" si="132"/>
        <v>153.4181289893117</v>
      </c>
      <c r="BD126" s="69">
        <f t="shared" si="145"/>
        <v>186.3016510490252</v>
      </c>
      <c r="BE126" s="69">
        <f t="shared" si="146"/>
        <v>231.51385236182892</v>
      </c>
      <c r="BF126" s="69">
        <f t="shared" si="147"/>
        <v>343.07684953929879</v>
      </c>
      <c r="BG126" s="69">
        <f t="shared" si="148"/>
        <v>268.24067792110145</v>
      </c>
      <c r="BH126" s="69">
        <f t="shared" si="149"/>
        <v>266.07620053902912</v>
      </c>
      <c r="BI126" s="69">
        <f t="shared" si="150"/>
        <v>252.64688942771417</v>
      </c>
      <c r="BJ126" s="51"/>
      <c r="BK126" s="52"/>
    </row>
    <row r="127" spans="34:63" x14ac:dyDescent="0.35">
      <c r="AH127" s="93" t="s">
        <v>26</v>
      </c>
      <c r="AI127" s="128">
        <f t="shared" si="130"/>
        <v>41.941348033957382</v>
      </c>
      <c r="AJ127" s="69">
        <f t="shared" si="133"/>
        <v>45.393953181477784</v>
      </c>
      <c r="AK127" s="69">
        <f t="shared" si="134"/>
        <v>68.379600150964578</v>
      </c>
      <c r="AL127" s="69">
        <f t="shared" si="135"/>
        <v>95.33486915320789</v>
      </c>
      <c r="AM127" s="69">
        <f t="shared" si="136"/>
        <v>76.872423960581926</v>
      </c>
      <c r="AN127" s="69">
        <f t="shared" si="137"/>
        <v>76.003050497499544</v>
      </c>
      <c r="AO127" s="69">
        <f t="shared" si="138"/>
        <v>72.274912726967983</v>
      </c>
      <c r="AP127" s="51"/>
      <c r="AQ127" s="55"/>
      <c r="AR127" s="93" t="s">
        <v>26</v>
      </c>
      <c r="AS127" s="29">
        <f t="shared" si="131"/>
        <v>94.240511510475969</v>
      </c>
      <c r="AT127" s="29">
        <f t="shared" si="139"/>
        <v>119.01295344393482</v>
      </c>
      <c r="AU127" s="29">
        <f t="shared" si="140"/>
        <v>163.94846583865231</v>
      </c>
      <c r="AV127" s="29">
        <f t="shared" si="141"/>
        <v>217.34111307101088</v>
      </c>
      <c r="AW127" s="29">
        <f t="shared" si="142"/>
        <v>179.8983319136309</v>
      </c>
      <c r="AX127" s="29">
        <f t="shared" si="143"/>
        <v>177.38274882927402</v>
      </c>
      <c r="AY127" s="29">
        <f t="shared" si="144"/>
        <v>168.89069174395479</v>
      </c>
      <c r="AZ127" s="51"/>
      <c r="BA127" s="55"/>
      <c r="BB127" s="98" t="s">
        <v>26</v>
      </c>
      <c r="BC127" s="69">
        <f t="shared" si="132"/>
        <v>305.21096959991445</v>
      </c>
      <c r="BD127" s="69">
        <f t="shared" si="145"/>
        <v>330.33588842386786</v>
      </c>
      <c r="BE127" s="69">
        <f t="shared" si="146"/>
        <v>497.60451299831874</v>
      </c>
      <c r="BF127" s="69">
        <f t="shared" si="147"/>
        <v>693.76043486664446</v>
      </c>
      <c r="BG127" s="69">
        <f t="shared" si="148"/>
        <v>559.40755727519524</v>
      </c>
      <c r="BH127" s="69">
        <f t="shared" si="149"/>
        <v>553.08104823221026</v>
      </c>
      <c r="BI127" s="69">
        <f t="shared" si="150"/>
        <v>525.95105367827409</v>
      </c>
      <c r="BJ127" s="51"/>
      <c r="BK127" s="52"/>
    </row>
    <row r="128" spans="34:63" x14ac:dyDescent="0.35">
      <c r="AH128" s="93" t="s">
        <v>27</v>
      </c>
      <c r="AI128" s="128">
        <f t="shared" si="130"/>
        <v>27.456809181798583</v>
      </c>
      <c r="AJ128" s="69">
        <f t="shared" si="133"/>
        <v>30.34176736087441</v>
      </c>
      <c r="AK128" s="69">
        <f t="shared" si="134"/>
        <v>44.190443975156064</v>
      </c>
      <c r="AL128" s="69">
        <f t="shared" si="135"/>
        <v>62.236472565301675</v>
      </c>
      <c r="AM128" s="69">
        <f t="shared" si="136"/>
        <v>49.924851698168951</v>
      </c>
      <c r="AN128" s="69">
        <f t="shared" si="137"/>
        <v>49.387044081067877</v>
      </c>
      <c r="AO128" s="69">
        <f t="shared" si="138"/>
        <v>46.952840189475594</v>
      </c>
      <c r="AP128" s="51"/>
      <c r="AQ128" s="55"/>
      <c r="AR128" s="93" t="s">
        <v>27</v>
      </c>
      <c r="AS128" s="29">
        <f t="shared" si="131"/>
        <v>63.568492900824651</v>
      </c>
      <c r="AT128" s="29">
        <f t="shared" si="139"/>
        <v>84.268067835693699</v>
      </c>
      <c r="AU128" s="29">
        <f t="shared" si="140"/>
        <v>111.09993361053428</v>
      </c>
      <c r="AV128" s="29">
        <f t="shared" si="141"/>
        <v>146.7592470639641</v>
      </c>
      <c r="AW128" s="29">
        <f t="shared" si="142"/>
        <v>121.70326160283729</v>
      </c>
      <c r="AX128" s="29">
        <f t="shared" si="143"/>
        <v>119.97853077834307</v>
      </c>
      <c r="AY128" s="29">
        <f t="shared" si="144"/>
        <v>114.24463554143577</v>
      </c>
      <c r="AZ128" s="51"/>
      <c r="BA128" s="55"/>
      <c r="BB128" s="98" t="s">
        <v>27</v>
      </c>
      <c r="BC128" s="69">
        <f t="shared" si="132"/>
        <v>103.57735815830421</v>
      </c>
      <c r="BD128" s="69">
        <f t="shared" si="145"/>
        <v>114.46049991768805</v>
      </c>
      <c r="BE128" s="69">
        <f t="shared" si="146"/>
        <v>166.70289007301858</v>
      </c>
      <c r="BF128" s="69">
        <f t="shared" si="147"/>
        <v>234.77926246721489</v>
      </c>
      <c r="BG128" s="69">
        <f t="shared" si="148"/>
        <v>188.33522173324621</v>
      </c>
      <c r="BH128" s="69">
        <f t="shared" si="149"/>
        <v>186.30641016202881</v>
      </c>
      <c r="BI128" s="69">
        <f t="shared" si="150"/>
        <v>177.12368224049996</v>
      </c>
      <c r="BJ128" s="51"/>
      <c r="BK128" s="52"/>
    </row>
    <row r="129" spans="34:63" x14ac:dyDescent="0.35">
      <c r="AH129" s="93" t="s">
        <v>28</v>
      </c>
      <c r="AI129" s="128">
        <f t="shared" si="130"/>
        <v>22.179817273706053</v>
      </c>
      <c r="AJ129" s="69">
        <f t="shared" si="133"/>
        <v>22.963239057885989</v>
      </c>
      <c r="AK129" s="69">
        <f t="shared" si="134"/>
        <v>37.119109463043422</v>
      </c>
      <c r="AL129" s="69">
        <f t="shared" si="135"/>
        <v>50.70669599077241</v>
      </c>
      <c r="AM129" s="69">
        <f t="shared" si="136"/>
        <v>41.31902358147898</v>
      </c>
      <c r="AN129" s="69">
        <f t="shared" si="137"/>
        <v>40.807002531249744</v>
      </c>
      <c r="AO129" s="69">
        <f t="shared" si="138"/>
        <v>38.824752669379926</v>
      </c>
      <c r="AP129" s="53"/>
      <c r="AQ129" s="62"/>
      <c r="AR129" s="93" t="s">
        <v>28</v>
      </c>
      <c r="AS129" s="29">
        <f t="shared" si="131"/>
        <v>46.709899899951907</v>
      </c>
      <c r="AT129" s="29">
        <f t="shared" si="139"/>
        <v>52.330951201442936</v>
      </c>
      <c r="AU129" s="29">
        <f t="shared" si="140"/>
        <v>80.407665476503823</v>
      </c>
      <c r="AV129" s="29">
        <f t="shared" si="141"/>
        <v>107.46532526433479</v>
      </c>
      <c r="AW129" s="29">
        <f t="shared" si="142"/>
        <v>88.572467178120945</v>
      </c>
      <c r="AX129" s="29">
        <f t="shared" si="143"/>
        <v>87.372155176221995</v>
      </c>
      <c r="AY129" s="29">
        <f t="shared" si="144"/>
        <v>83.172628917228394</v>
      </c>
      <c r="AZ129" s="53"/>
      <c r="BA129" s="62"/>
      <c r="BB129" s="98" t="s">
        <v>28</v>
      </c>
      <c r="BC129" s="69">
        <f t="shared" si="132"/>
        <v>120.79825099833285</v>
      </c>
      <c r="BD129" s="69">
        <f t="shared" si="145"/>
        <v>125.0650120881602</v>
      </c>
      <c r="BE129" s="69">
        <f t="shared" si="146"/>
        <v>202.16232831940221</v>
      </c>
      <c r="BF129" s="69">
        <f t="shared" si="147"/>
        <v>276.16459207041981</v>
      </c>
      <c r="BG129" s="69">
        <f t="shared" si="148"/>
        <v>225.03637969635693</v>
      </c>
      <c r="BH129" s="69">
        <f t="shared" si="149"/>
        <v>222.24775224380593</v>
      </c>
      <c r="BI129" s="69">
        <f t="shared" si="150"/>
        <v>211.45179692097156</v>
      </c>
      <c r="BJ129" s="53"/>
      <c r="BK129" s="54"/>
    </row>
    <row r="130" spans="34:63" ht="15.6" thickBot="1" x14ac:dyDescent="0.4">
      <c r="AH130" s="18" t="s">
        <v>29</v>
      </c>
      <c r="AI130" s="130">
        <f>(AQ65+BW65)/$N4</f>
        <v>36.705552044142443</v>
      </c>
      <c r="AJ130" s="113">
        <f t="shared" ref="AJ130:AO130" si="151">(AR65+BX65)/$N4</f>
        <v>39.683227638049104</v>
      </c>
      <c r="AK130" s="113">
        <f t="shared" si="151"/>
        <v>59.883716399318452</v>
      </c>
      <c r="AL130" s="113">
        <f t="shared" si="151"/>
        <v>83.445884891433749</v>
      </c>
      <c r="AM130" s="113">
        <f t="shared" si="151"/>
        <v>67.304053954606289</v>
      </c>
      <c r="AN130" s="113">
        <f t="shared" si="151"/>
        <v>66.541007418142584</v>
      </c>
      <c r="AO130" s="113">
        <f t="shared" si="151"/>
        <v>63.277825113371478</v>
      </c>
      <c r="AP130" s="51"/>
      <c r="AQ130" s="55"/>
      <c r="AR130" s="18" t="s">
        <v>29</v>
      </c>
      <c r="AS130" s="29">
        <f>(BA65+BW65)/($N4*$AZ$70)</f>
        <v>97.232508839538141</v>
      </c>
      <c r="AT130" s="29">
        <f t="shared" ref="AT130:AY130" si="152">(BB65+BX65)/($N4*$AZ$70)</f>
        <v>144.27978322326331</v>
      </c>
      <c r="AU130" s="29">
        <f t="shared" si="152"/>
        <v>182.29862027067668</v>
      </c>
      <c r="AV130" s="29">
        <f t="shared" si="152"/>
        <v>228.23188701734466</v>
      </c>
      <c r="AW130" s="29">
        <f t="shared" si="152"/>
        <v>194.75715490612706</v>
      </c>
      <c r="AX130" s="29">
        <f t="shared" si="152"/>
        <v>191.44445647685566</v>
      </c>
      <c r="AY130" s="29">
        <f t="shared" si="152"/>
        <v>182.53595139218811</v>
      </c>
      <c r="AZ130" s="51"/>
      <c r="BA130" s="55"/>
      <c r="BB130" s="99" t="s">
        <v>29</v>
      </c>
      <c r="BC130" s="146">
        <f>(AQ65+BW65)/($N4*$P4)</f>
        <v>171.52127123431049</v>
      </c>
      <c r="BD130" s="117">
        <f t="shared" ref="BD130:BI130" si="153">(AR65+BX65)/($N4*$P4)</f>
        <v>185.43564316845377</v>
      </c>
      <c r="BE130" s="146">
        <f t="shared" si="153"/>
        <v>279.8304504641049</v>
      </c>
      <c r="BF130" s="146">
        <f t="shared" si="153"/>
        <v>389.93404154875583</v>
      </c>
      <c r="BG130" s="146">
        <f t="shared" si="153"/>
        <v>314.50492502152468</v>
      </c>
      <c r="BH130" s="146">
        <f t="shared" si="153"/>
        <v>310.93928700066624</v>
      </c>
      <c r="BI130" s="146">
        <f t="shared" si="153"/>
        <v>295.69077155781065</v>
      </c>
      <c r="BJ130" s="72"/>
      <c r="BK130" s="59"/>
    </row>
  </sheetData>
  <mergeCells count="38">
    <mergeCell ref="B2:C2"/>
    <mergeCell ref="AS2:AT2"/>
    <mergeCell ref="AS7:AT7"/>
    <mergeCell ref="AS9:AT9"/>
    <mergeCell ref="E2:J2"/>
    <mergeCell ref="B3:C3"/>
    <mergeCell ref="N2:O2"/>
    <mergeCell ref="AC7:AD7"/>
    <mergeCell ref="U2:AA2"/>
    <mergeCell ref="Z3:AA3"/>
    <mergeCell ref="AC2:AD2"/>
    <mergeCell ref="AC3:AD3"/>
    <mergeCell ref="AC9:AD9"/>
    <mergeCell ref="AC5:AD5"/>
    <mergeCell ref="C36:K36"/>
    <mergeCell ref="W36:AC36"/>
    <mergeCell ref="AS11:AT11"/>
    <mergeCell ref="AC4:AD4"/>
    <mergeCell ref="C70:K70"/>
    <mergeCell ref="AP36:AY36"/>
    <mergeCell ref="L70:U70"/>
    <mergeCell ref="AH70:AQ70"/>
    <mergeCell ref="AC8:AD8"/>
    <mergeCell ref="L36:U36"/>
    <mergeCell ref="AC10:AD10"/>
    <mergeCell ref="AC6:AD6"/>
    <mergeCell ref="CF36:CM36"/>
    <mergeCell ref="BV36:CC36"/>
    <mergeCell ref="W70:AF70"/>
    <mergeCell ref="AH101:AQ101"/>
    <mergeCell ref="AR101:AY101"/>
    <mergeCell ref="BJ36:BK36"/>
    <mergeCell ref="AF36:AO36"/>
    <mergeCell ref="AZ36:BI36"/>
    <mergeCell ref="BL36:BS36"/>
    <mergeCell ref="BB101:BK101"/>
    <mergeCell ref="BB70:BK70"/>
    <mergeCell ref="AR70:AX70"/>
  </mergeCells>
  <phoneticPr fontId="16" type="noConversion"/>
  <conditionalFormatting sqref="AG3:AP5 AG7:AP10">
    <cfRule type="cellIs" dxfId="0" priority="1" operator="lessThan">
      <formula>0</formula>
    </cfRule>
  </conditionalFormatting>
  <hyperlinks>
    <hyperlink ref="P1" r:id="rId1" xr:uid="{523CD16D-0750-4FEC-8F83-6965007CF550}"/>
    <hyperlink ref="Q1" r:id="rId2" xr:uid="{936781D9-9EBF-4913-A012-F933F9A37E26}"/>
  </hyperlinks>
  <pageMargins left="0.7" right="0.7" top="0.75" bottom="0.75" header="0.3" footer="0.3"/>
  <pageSetup paperSize="9" orientation="portrait" r:id="rId3"/>
  <tableParts count="18">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30C92-C415-4C1C-A1ED-499EF03E531E}">
  <sheetPr codeName="Sheet8"/>
  <dimension ref="A2:BJ94"/>
  <sheetViews>
    <sheetView showGridLines="0" zoomScale="70" zoomScaleNormal="70" workbookViewId="0"/>
  </sheetViews>
  <sheetFormatPr defaultColWidth="9.1796875" defaultRowHeight="15" x14ac:dyDescent="0.35"/>
  <cols>
    <col min="6" max="6" width="10.81640625" bestFit="1" customWidth="1"/>
    <col min="9" max="9" width="11.81640625" bestFit="1" customWidth="1"/>
    <col min="12" max="12" width="9.6328125" bestFit="1" customWidth="1"/>
    <col min="15" max="15" width="10.453125" bestFit="1" customWidth="1"/>
    <col min="28" max="28" width="10" customWidth="1"/>
    <col min="29" max="29" width="10.81640625" bestFit="1" customWidth="1"/>
    <col min="30" max="30" width="10.08984375" customWidth="1"/>
    <col min="32" max="32" width="15.453125" bestFit="1" customWidth="1"/>
    <col min="33" max="34" width="14.36328125" bestFit="1" customWidth="1"/>
    <col min="35" max="35" width="14.6328125" bestFit="1" customWidth="1"/>
    <col min="36" max="36" width="14.90625" bestFit="1" customWidth="1"/>
    <col min="37" max="37" width="15.453125" bestFit="1" customWidth="1"/>
    <col min="38" max="38" width="15.54296875" bestFit="1" customWidth="1"/>
    <col min="39" max="39" width="10.1796875" customWidth="1"/>
    <col min="40" max="40" width="9.81640625" customWidth="1"/>
    <col min="42" max="42" width="14.54296875" bestFit="1" customWidth="1"/>
    <col min="43" max="43" width="14.1796875" bestFit="1" customWidth="1"/>
    <col min="44" max="44" width="14.453125" bestFit="1" customWidth="1"/>
    <col min="45" max="45" width="14" bestFit="1" customWidth="1"/>
    <col min="46" max="48" width="14.1796875" bestFit="1" customWidth="1"/>
  </cols>
  <sheetData>
    <row r="2" spans="1:62" x14ac:dyDescent="0.35">
      <c r="AC2" s="270">
        <f>Dashboard!C29</f>
        <v>200</v>
      </c>
      <c r="AD2" t="s">
        <v>88</v>
      </c>
    </row>
    <row r="3" spans="1:62" ht="15.6" thickBot="1" x14ac:dyDescent="0.4">
      <c r="A3" s="389" t="s">
        <v>52</v>
      </c>
      <c r="B3" s="390"/>
      <c r="K3" s="389" t="s">
        <v>52</v>
      </c>
      <c r="L3" s="390"/>
      <c r="W3" s="90">
        <v>2</v>
      </c>
      <c r="X3" s="90">
        <v>3</v>
      </c>
      <c r="Y3" s="90">
        <v>3</v>
      </c>
      <c r="Z3" s="90">
        <v>3</v>
      </c>
      <c r="AA3" s="90">
        <v>3</v>
      </c>
      <c r="AB3" s="90">
        <v>3</v>
      </c>
      <c r="AC3" s="270">
        <f>Dashboard!C30</f>
        <v>4200</v>
      </c>
      <c r="AD3" t="s">
        <v>89</v>
      </c>
      <c r="AF3" t="s">
        <v>128</v>
      </c>
      <c r="AG3" s="165"/>
      <c r="AH3" s="165"/>
      <c r="AJ3" s="165"/>
      <c r="AK3" s="165"/>
      <c r="AL3" s="165"/>
      <c r="BA3" s="389"/>
      <c r="BB3" s="390"/>
    </row>
    <row r="4" spans="1:62" ht="15.75" customHeight="1" x14ac:dyDescent="0.35">
      <c r="A4" s="360" t="s">
        <v>195</v>
      </c>
      <c r="B4" s="361"/>
      <c r="C4" s="361"/>
      <c r="D4" s="361"/>
      <c r="E4" s="361"/>
      <c r="F4" s="361"/>
      <c r="G4" s="361"/>
      <c r="H4" s="361"/>
      <c r="I4" s="361"/>
      <c r="J4" s="362"/>
      <c r="K4" s="360" t="s">
        <v>123</v>
      </c>
      <c r="L4" s="361"/>
      <c r="M4" s="361"/>
      <c r="N4" s="361"/>
      <c r="O4" s="361"/>
      <c r="P4" s="361"/>
      <c r="Q4" s="361"/>
      <c r="R4" s="361"/>
      <c r="S4" s="361"/>
      <c r="T4" s="362"/>
      <c r="U4" s="360" t="s">
        <v>211</v>
      </c>
      <c r="V4" s="361"/>
      <c r="W4" s="361"/>
      <c r="X4" s="361"/>
      <c r="Y4" s="361"/>
      <c r="Z4" s="361"/>
      <c r="AA4" s="361"/>
      <c r="AB4" s="361"/>
      <c r="AC4" s="136">
        <f>Dashboard!C31</f>
        <v>100</v>
      </c>
      <c r="AD4" s="121" t="s">
        <v>197</v>
      </c>
      <c r="AE4" s="391" t="s">
        <v>244</v>
      </c>
      <c r="AF4" s="392"/>
      <c r="AG4" s="392"/>
      <c r="AH4" s="392"/>
      <c r="AI4" s="392"/>
      <c r="AJ4" s="392"/>
      <c r="AK4" s="392"/>
      <c r="AL4" s="392"/>
      <c r="AM4" s="392"/>
      <c r="AN4" s="392"/>
      <c r="AO4" s="393"/>
      <c r="AP4" s="391" t="s">
        <v>198</v>
      </c>
      <c r="AQ4" s="392"/>
      <c r="AR4" s="392"/>
      <c r="AS4" s="392"/>
      <c r="AT4" s="392"/>
      <c r="AU4" s="392"/>
      <c r="AV4" s="392"/>
      <c r="AW4" s="392"/>
      <c r="AX4" s="392"/>
      <c r="AY4" s="392"/>
      <c r="AZ4" s="393"/>
      <c r="BA4" s="360" t="s">
        <v>199</v>
      </c>
      <c r="BB4" s="361"/>
      <c r="BC4" s="361"/>
      <c r="BD4" s="361"/>
      <c r="BE4" s="361"/>
      <c r="BF4" s="361"/>
      <c r="BG4" s="361"/>
      <c r="BH4" s="361"/>
      <c r="BI4" s="361"/>
      <c r="BJ4" s="362"/>
    </row>
    <row r="5" spans="1:62" x14ac:dyDescent="0.35">
      <c r="A5" s="93" t="s">
        <v>70</v>
      </c>
      <c r="B5" s="131" t="s">
        <v>72</v>
      </c>
      <c r="C5" s="19" t="s">
        <v>61</v>
      </c>
      <c r="D5" s="20" t="s">
        <v>62</v>
      </c>
      <c r="E5" s="20" t="s">
        <v>63</v>
      </c>
      <c r="F5" s="20" t="s">
        <v>64</v>
      </c>
      <c r="G5" s="20" t="s">
        <v>65</v>
      </c>
      <c r="H5" s="20" t="s">
        <v>66</v>
      </c>
      <c r="I5" s="25" t="s">
        <v>47</v>
      </c>
      <c r="J5" s="43" t="s">
        <v>46</v>
      </c>
      <c r="K5" s="93" t="s">
        <v>70</v>
      </c>
      <c r="L5" s="131" t="s">
        <v>72</v>
      </c>
      <c r="M5" s="19" t="s">
        <v>61</v>
      </c>
      <c r="N5" s="20" t="s">
        <v>62</v>
      </c>
      <c r="O5" s="20" t="s">
        <v>63</v>
      </c>
      <c r="P5" s="20" t="s">
        <v>64</v>
      </c>
      <c r="Q5" s="20" t="s">
        <v>65</v>
      </c>
      <c r="R5" s="20" t="s">
        <v>66</v>
      </c>
      <c r="S5" s="25" t="s">
        <v>47</v>
      </c>
      <c r="T5" s="43" t="s">
        <v>46</v>
      </c>
      <c r="U5" s="93" t="s">
        <v>70</v>
      </c>
      <c r="V5" s="131" t="s">
        <v>72</v>
      </c>
      <c r="W5" s="19" t="s">
        <v>61</v>
      </c>
      <c r="X5" s="20" t="s">
        <v>62</v>
      </c>
      <c r="Y5" s="20" t="s">
        <v>63</v>
      </c>
      <c r="Z5" s="20" t="s">
        <v>64</v>
      </c>
      <c r="AA5" s="20" t="s">
        <v>65</v>
      </c>
      <c r="AB5" s="20" t="s">
        <v>66</v>
      </c>
      <c r="AC5" s="25" t="s">
        <v>47</v>
      </c>
      <c r="AD5" s="43" t="s">
        <v>46</v>
      </c>
      <c r="AE5" s="150" t="s">
        <v>70</v>
      </c>
      <c r="AF5" t="s">
        <v>72</v>
      </c>
      <c r="AG5" t="s">
        <v>61</v>
      </c>
      <c r="AH5" t="s">
        <v>62</v>
      </c>
      <c r="AI5" t="s">
        <v>63</v>
      </c>
      <c r="AJ5" t="s">
        <v>64</v>
      </c>
      <c r="AK5" t="s">
        <v>65</v>
      </c>
      <c r="AL5" s="147" t="s">
        <v>66</v>
      </c>
      <c r="AM5" t="s">
        <v>125</v>
      </c>
      <c r="AN5" s="147" t="s">
        <v>126</v>
      </c>
      <c r="AO5" s="147" t="s">
        <v>127</v>
      </c>
      <c r="AP5" s="150" t="s">
        <v>70</v>
      </c>
      <c r="AQ5" t="s">
        <v>72</v>
      </c>
      <c r="AR5" t="s">
        <v>61</v>
      </c>
      <c r="AS5" t="s">
        <v>62</v>
      </c>
      <c r="AT5" t="s">
        <v>63</v>
      </c>
      <c r="AU5" t="s">
        <v>64</v>
      </c>
      <c r="AV5" t="s">
        <v>65</v>
      </c>
      <c r="AW5" s="147" t="s">
        <v>66</v>
      </c>
      <c r="AX5" t="s">
        <v>125</v>
      </c>
      <c r="AY5" s="147" t="s">
        <v>126</v>
      </c>
      <c r="AZ5" s="147" t="s">
        <v>127</v>
      </c>
      <c r="BA5" s="93" t="s">
        <v>70</v>
      </c>
      <c r="BB5" s="131" t="s">
        <v>72</v>
      </c>
      <c r="BC5" s="19" t="s">
        <v>61</v>
      </c>
      <c r="BD5" s="20" t="s">
        <v>62</v>
      </c>
      <c r="BE5" s="20" t="s">
        <v>63</v>
      </c>
      <c r="BF5" s="20" t="s">
        <v>64</v>
      </c>
      <c r="BG5" s="20" t="s">
        <v>65</v>
      </c>
      <c r="BH5" s="20" t="s">
        <v>66</v>
      </c>
      <c r="BI5" s="25" t="s">
        <v>47</v>
      </c>
      <c r="BJ5" s="43" t="s">
        <v>46</v>
      </c>
    </row>
    <row r="6" spans="1:62" x14ac:dyDescent="0.35">
      <c r="A6" t="s">
        <v>2</v>
      </c>
      <c r="B6" s="134">
        <f>Revenues!CG38</f>
        <v>512.13218606040073</v>
      </c>
      <c r="C6" s="128">
        <f>Revenues!CH38</f>
        <v>605.8788527270674</v>
      </c>
      <c r="D6" s="128">
        <f>Revenues!CI38</f>
        <v>906.4202556535746</v>
      </c>
      <c r="E6" s="128">
        <f>Revenues!CJ38</f>
        <v>1185.7964118167977</v>
      </c>
      <c r="F6" s="128">
        <f>Revenues!CK38</f>
        <v>988.39094588550336</v>
      </c>
      <c r="G6" s="128">
        <f>Revenues!CL38</f>
        <v>973.87619102118617</v>
      </c>
      <c r="H6" s="128">
        <f>Revenues!CM38</f>
        <v>927.55487032676126</v>
      </c>
      <c r="I6" s="49">
        <f>SUM(Table21112327[[#This Row],[2026]:[2032]])</f>
        <v>6100.0497134912912</v>
      </c>
      <c r="J6" s="61"/>
      <c r="K6" t="s">
        <v>2</v>
      </c>
      <c r="L6" s="164"/>
      <c r="M6" s="128">
        <f>IF(Dashboard!$C$3=2027,Dashboard!$C$26*Revenues!$N5*Dashboard!$E$26,0)</f>
        <v>0</v>
      </c>
      <c r="N6" s="128">
        <f>IF(Dashboard!$C$3=2027,Dashboard!$C$26*Revenues!$N5*(Dashboard!$E$26-(X$39-$W$39)*2/100)*(1+(Revenues!AV$8-Revenues!$AU$8)/Revenues!$AU$8),Dashboard!$C$26*Revenues!$N5*Dashboard!$E$26)</f>
        <v>320.52999999999997</v>
      </c>
      <c r="O6" s="128">
        <f>IF(Dashboard!$C$3=2027,Dashboard!$C$26*Revenues!$N5*(Dashboard!$E$26-(Y$39-$W$39)*2/100)*(1+(Revenues!AW$8-Revenues!$AU$8)/Revenues!$AU$8),Dashboard!$C$26*Revenues!$N5*(Dashboard!$E$26-(Y$39-$X$39)*2/100)*(1+(Revenues!AW$8-Revenues!$AV$8)/Revenues!$AV$8))</f>
        <v>374.60201739130429</v>
      </c>
      <c r="P6" s="128">
        <f>IF(Dashboard!$C$3=2027,Dashboard!$C$26*Revenues!$N5*(Dashboard!$E$26-(Z$39-$W$39)*2/100)*(1+(Revenues!AX$8-Revenues!$AU$8)/Revenues!$AU$8),Dashboard!$C$26*Revenues!$N5*(Dashboard!$E$26-(Z$39-$X$39)*2/100)*(1+(Revenues!AX$8-Revenues!$AV$8)/Revenues!$AV$8))</f>
        <v>429.51019999999994</v>
      </c>
      <c r="Q6" s="128">
        <f>IF(Dashboard!$C$3=2027,Dashboard!$C$26*Revenues!$N5*(Dashboard!$E$26-(AA$39-$W$39)*2/100)*(1+(Revenues!AY$8-Revenues!$AU$8)/Revenues!$AU$8),Dashboard!$C$26*Revenues!$N5*(Dashboard!$E$26-(AA$39-$X$39)*2/100)*(1+(Revenues!AY$8-Revenues!$AV$8)/Revenues!$AV$8))</f>
        <v>441.49523478260863</v>
      </c>
      <c r="R6" s="128">
        <f>IF(Dashboard!$C$3=2027,Dashboard!$C$26*Revenues!$N5*(Dashboard!$E$26-(AB$39-$W$39)*2/100)*(1+(Revenues!AZ$8-Revenues!$AU$8)/Revenues!$AU$8),Dashboard!$C$26*Revenues!$N5*(Dashboard!$E$26-(AB$39-$X$39)*2/100)*(1+(Revenues!AZ$8-Revenues!$AV$8)/Revenues!$AV$8))</f>
        <v>444.83989565217382</v>
      </c>
      <c r="S6" s="49">
        <f>SUM(Table211123[[#This Row],[2026]:[2032]])</f>
        <v>2010.9773478260868</v>
      </c>
      <c r="T6" s="61"/>
      <c r="U6" t="s">
        <v>2</v>
      </c>
      <c r="V6" s="132">
        <f>Dashboard!$C$28*Revenues!$N5*($AC$3+12*($AC$2-$AC$4))</f>
        <v>247.26599999999999</v>
      </c>
      <c r="W6" s="132">
        <f>Dashboard!$C$28*Revenues!$N5*($AC$3+12*($AC$2-$AC$4)*(1+W$3))</f>
        <v>357.16199999999998</v>
      </c>
      <c r="X6" s="128">
        <f>Dashboard!$C$28*Revenues!$N5*($AC$3+12*($AC$2-$AC$4)*(1+X$3))</f>
        <v>412.10999999999996</v>
      </c>
      <c r="Y6" s="128">
        <f>Dashboard!$C$28*Revenues!$N5*($AC$3+12*($AC$2-$AC$4)*(1+Y$3))</f>
        <v>412.10999999999996</v>
      </c>
      <c r="Z6" s="128">
        <f>Dashboard!$C$28*Revenues!$N5*($AC$3+12*($AC$2-$AC$4)*(1+Z$3))</f>
        <v>412.10999999999996</v>
      </c>
      <c r="AA6" s="128">
        <f>Dashboard!$C$28*Revenues!$N5*($AC$3+12*($AC$2-$AC$4)*(1+AA$3))</f>
        <v>412.10999999999996</v>
      </c>
      <c r="AB6" s="128">
        <f>Dashboard!$C$28*Revenues!$N5*($AC$3+12*($AC$2-$AC$4)*(1+AB$3))</f>
        <v>412.10999999999996</v>
      </c>
      <c r="AC6" s="49">
        <f>SUM(Table21112325[[#This Row],[2026]:[2032]])</f>
        <v>2664.9780000000001</v>
      </c>
      <c r="AD6" s="61"/>
      <c r="AE6" s="150" t="s">
        <v>2</v>
      </c>
      <c r="AF6" s="69">
        <f>Dashboard!$C$35*B40*(V40*Dashboard!$C$34)+Dashboard!$C$38*Dashboard!$C$36*B40*(V40*Dashboard!$C$34)</f>
        <v>90677030.320379421</v>
      </c>
      <c r="AG6" s="69">
        <f>Dashboard!$C$35*C40*(W40*Dashboard!$C$34)+Dashboard!$C$38*Dashboard!$C$36*C40*(W40*Dashboard!$C$34)+Dashboard!$C$38*B40*Dashboard!$C$36*14/15*(V40*Dashboard!$C$34)</f>
        <v>86232211.705886111</v>
      </c>
      <c r="AH6" s="69">
        <f>Dashboard!$C$35*D40*(X40*Dashboard!$C$34)+Dashboard!$C$38*Dashboard!$C$36*D40*(X40*Dashboard!$C$34)+Dashboard!$C$38*B40*Dashboard!$C$36*13/15*(V40*Dashboard!$C$34)+Dashboard!$C$38*C40*Dashboard!$C$36*14/15*(W40*Dashboard!$C$34)</f>
        <v>82221286.137154818</v>
      </c>
      <c r="AI6" s="69">
        <f>Dashboard!$C$35*E40*(Y40*Dashboard!$C$34)+Dashboard!$C$38*Dashboard!$C$36*E40*(Y40*Dashboard!$C$34)+Dashboard!$C$38*B40*Dashboard!$C$36*12/15*(V40*Dashboard!$C$34)+Dashboard!$C$38*C40*Dashboard!$C$36*13/15*(W40*Dashboard!$C$34)+Dashboard!$C$38*D40*Dashboard!$C$36*14/15*(X40*Dashboard!$C$34)</f>
        <v>79785173.825913429</v>
      </c>
      <c r="AJ6" s="69">
        <f>Dashboard!$C$35*F40*(Z40*Dashboard!$C$34)+Dashboard!$C$38*Dashboard!$C$36*F40*(Z40*Dashboard!$C$34)+Dashboard!$C$38*B40*Dashboard!$C$36*11/15*(V40*Dashboard!$C$34)+Dashboard!$C$38*C40*Dashboard!$C$36*12/15*(W40*Dashboard!$C$34)+Dashboard!$C$38*D40*Dashboard!$C$36*13/15*(X40*Dashboard!$C$34)+Dashboard!$C$38*E40*Dashboard!$C$36*14/15*(Y40*Dashboard!$C$34)</f>
        <v>78865337.923096955</v>
      </c>
      <c r="AK6" s="69">
        <f>Dashboard!$C$35*G40*(AA40*Dashboard!$C$34)+Dashboard!$C$38*Dashboard!$C$36*G40*(AA40*Dashboard!$C$34)+Dashboard!$C$38*B40*Dashboard!$C$36*10/15*(V40*Dashboard!$C$34)+Dashboard!$C$38*C40*Dashboard!$C$36*11/15*(W40*Dashboard!$C$34)+Dashboard!$C$38*D40*Dashboard!$C$36*12/15*(X40*Dashboard!$C$34)+Dashboard!$C$38*E40*Dashboard!$C$36*13/15*(Y40*Dashboard!$C$34)+Dashboard!$C$38*F40*Dashboard!$C$36*14/15*(Z40*Dashboard!$C$34)</f>
        <v>77883848.132240266</v>
      </c>
      <c r="AL6" s="69">
        <f>Dashboard!$C$35*H40*(AB40*Dashboard!$C$34)+Dashboard!$C$38*Dashboard!$C$36*H40*(AB40*Dashboard!$C$34)+Dashboard!$C$38*Dashboard!$C$36*B40*9/15*(V40*Dashboard!$C$34)+Dashboard!$C$38*C40*Dashboard!$C$36*10/15*(W40*Dashboard!$C$34)+Dashboard!$C$38*D40*Dashboard!$C$36*11/15*(X40*Dashboard!$C$34)+Dashboard!$C$38*E40*Dashboard!$C$36*12/15*(Y40*Dashboard!$C$34)+Dashboard!$C$38*F40*Dashboard!$C$36*13/15*(Z40*Dashboard!$C$34)+Dashboard!$C$38*G40*Dashboard!$C$36*14/15*(AA40*Dashboard!$C$34)</f>
        <v>76901267.989792734</v>
      </c>
      <c r="AO6" s="147"/>
      <c r="AP6" s="150" t="s">
        <v>2</v>
      </c>
      <c r="AQ6" s="258">
        <f>Tabelle8[[#This Row],[2026]]/1000000</f>
        <v>90.677030320379416</v>
      </c>
      <c r="AR6" s="258">
        <f>Tabelle8[[#This Row],[2027]]/1000000</f>
        <v>86.232211705886115</v>
      </c>
      <c r="AS6" s="258">
        <f>Tabelle8[[#This Row],[2028]]/1000000</f>
        <v>82.22128613715482</v>
      </c>
      <c r="AT6" s="258">
        <f>Tabelle8[[#This Row],[2029]]/1000000</f>
        <v>79.785173825913432</v>
      </c>
      <c r="AU6" s="258">
        <f>Tabelle8[[#This Row],[2030]]/1000000</f>
        <v>78.865337923096959</v>
      </c>
      <c r="AV6" s="258">
        <f>Tabelle8[[#This Row],[2031]]/1000000</f>
        <v>77.88384813224026</v>
      </c>
      <c r="AW6" s="258">
        <f>Tabelle8[[#This Row],[2032]]/1000000</f>
        <v>76.901267989792728</v>
      </c>
      <c r="AX6" s="69">
        <f>Tabelle8[[#This Row],[2033]]/1000000</f>
        <v>0</v>
      </c>
      <c r="AY6" s="69">
        <f>Tabelle8[[#This Row],[2034]]/1000000</f>
        <v>0</v>
      </c>
      <c r="AZ6" s="76">
        <f>Tabelle8[[#This Row],[2035]]/1000000</f>
        <v>0</v>
      </c>
      <c r="BA6" t="s">
        <v>2</v>
      </c>
      <c r="BB6" s="164">
        <f>Table211123[[#This Row],[2026]]/(Revenues!$N5*Dashboard!$E$26)</f>
        <v>0</v>
      </c>
      <c r="BC6" s="164">
        <f>Table211123[[#This Row],[2027]]/(Revenues!$N5*Dashboard!$E$26)</f>
        <v>0</v>
      </c>
      <c r="BD6" s="164">
        <f>Table211123[[#This Row],[2028]]/(Revenues!$N5*Dashboard!$E$26)</f>
        <v>70</v>
      </c>
      <c r="BE6" s="164">
        <f>Table211123[[#This Row],[2029]]/(Revenues!$N5*Dashboard!$E$26)</f>
        <v>81.80869565217391</v>
      </c>
      <c r="BF6" s="164">
        <f>Table211123[[#This Row],[2030]]/(Revenues!$N5*Dashboard!$E$26)</f>
        <v>93.8</v>
      </c>
      <c r="BG6" s="164">
        <f>Table211123[[#This Row],[2031]]/(Revenues!$N5*Dashboard!$E$26)</f>
        <v>96.417391304347817</v>
      </c>
      <c r="BH6" s="164">
        <f>Table211123[[#This Row],[2032]]/(Revenues!$N5*Dashboard!$E$26)</f>
        <v>97.147826086956513</v>
      </c>
      <c r="BI6" s="49">
        <f>SUM(Table21112321[[#This Row],[2026]:[2032]])</f>
        <v>439.17391304347825</v>
      </c>
      <c r="BJ6" s="61"/>
    </row>
    <row r="7" spans="1:62" x14ac:dyDescent="0.35">
      <c r="A7" t="s">
        <v>3</v>
      </c>
      <c r="B7" s="134">
        <f>Revenues!CG39</f>
        <v>786.68932131673239</v>
      </c>
      <c r="C7" s="69">
        <f>Revenues!CH39</f>
        <v>1055.2893213167324</v>
      </c>
      <c r="D7" s="128">
        <f>Revenues!CI39</f>
        <v>1435.8391005410135</v>
      </c>
      <c r="E7" s="128">
        <f>Revenues!CJ39</f>
        <v>1834.7089128193772</v>
      </c>
      <c r="F7" s="128">
        <f>Revenues!CK39</f>
        <v>1548.5310099643748</v>
      </c>
      <c r="G7" s="128">
        <f>Revenues!CL39</f>
        <v>1523.8622703987235</v>
      </c>
      <c r="H7" s="128">
        <f>Revenues!CM39</f>
        <v>1452.2220980424286</v>
      </c>
      <c r="I7" s="51">
        <f>SUM(Table21112327[[#This Row],[2026]:[2032]])</f>
        <v>9637.1420343993814</v>
      </c>
      <c r="J7" s="55"/>
      <c r="K7" t="s">
        <v>3</v>
      </c>
      <c r="L7" s="164"/>
      <c r="M7" s="128">
        <f>IF(Dashboard!$C$3=2027,Dashboard!$C$26*Revenues!$N6*Dashboard!$E$26,0)</f>
        <v>0</v>
      </c>
      <c r="N7" s="128">
        <f>IF(Dashboard!$C$3=2027,Dashboard!$C$26*Revenues!$N6*(Dashboard!$E$26-(X$39-$W$39)*2/100)*(1+(Revenues!AV$8-Revenues!$AU$8)/Revenues!$AU$8),Dashboard!$C$26*Revenues!$N6*Dashboard!$E$26)</f>
        <v>413.59500000000003</v>
      </c>
      <c r="O7" s="128">
        <f>IF(Dashboard!$C$3=2027,Dashboard!$C$26*Revenues!$N6*(Dashboard!$E$26-(Y$39-$W$39)*2/100)*(1+(Revenues!AW$8-Revenues!$AU$8)/Revenues!$AU$8),Dashboard!$C$26*Revenues!$N6*(Dashboard!$E$26-(Y$39-$X$39)*2/100)*(1+(Revenues!AW$8-Revenues!$AV$8)/Revenues!$AV$8))</f>
        <v>483.36667826086961</v>
      </c>
      <c r="P7" s="128">
        <f>IF(Dashboard!$C$3=2027,Dashboard!$C$26*Revenues!$N6*(Dashboard!$E$26-(Z$39-$W$39)*2/100)*(1+(Revenues!AX$8-Revenues!$AU$8)/Revenues!$AU$8),Dashboard!$C$26*Revenues!$N6*(Dashboard!$E$26-(Z$39-$X$39)*2/100)*(1+(Revenues!AX$8-Revenues!$AV$8)/Revenues!$AV$8))</f>
        <v>554.21730000000002</v>
      </c>
      <c r="Q7" s="128">
        <f>IF(Dashboard!$C$3=2027,Dashboard!$C$26*Revenues!$N6*(Dashboard!$E$26-(AA$39-$W$39)*2/100)*(1+(Revenues!AY$8-Revenues!$AU$8)/Revenues!$AU$8),Dashboard!$C$26*Revenues!$N6*(Dashboard!$E$26-(AA$39-$X$39)*2/100)*(1+(Revenues!AY$8-Revenues!$AV$8)/Revenues!$AV$8))</f>
        <v>569.6821565217391</v>
      </c>
      <c r="R7" s="128">
        <f>IF(Dashboard!$C$3=2027,Dashboard!$C$26*Revenues!$N6*(Dashboard!$E$26-(AB$39-$W$39)*2/100)*(1+(Revenues!AZ$8-Revenues!$AU$8)/Revenues!$AU$8),Dashboard!$C$26*Revenues!$N6*(Dashboard!$E$26-(AB$39-$X$39)*2/100)*(1+(Revenues!AZ$8-Revenues!$AV$8)/Revenues!$AV$8))</f>
        <v>573.99793043478257</v>
      </c>
      <c r="S7" s="51">
        <f>SUM(Table211123[[#This Row],[2026]:[2032]])</f>
        <v>2594.8590652173912</v>
      </c>
      <c r="T7" s="55"/>
      <c r="U7" t="s">
        <v>3</v>
      </c>
      <c r="V7" s="132">
        <f>Dashboard!$C$28*Revenues!$N6*($AC$3+12*($AC$2-$AC$4))</f>
        <v>319.05899999999997</v>
      </c>
      <c r="W7" s="132">
        <f>Dashboard!$C$28*Revenues!$N6*($AC$3+12*($AC$2-$AC$4)*(1+W$3))</f>
        <v>460.863</v>
      </c>
      <c r="X7" s="69">
        <f>Dashboard!$C$28*Revenues!$N6*($AC$3+12*($AC$2-$AC$4)*(1+X$3))</f>
        <v>531.76499999999999</v>
      </c>
      <c r="Y7" s="69">
        <f>Dashboard!$C$28*Revenues!$N6*($AC$3+12*($AC$2-$AC$4)*(1+Y$3))</f>
        <v>531.76499999999999</v>
      </c>
      <c r="Z7" s="69">
        <f>Dashboard!$C$28*Revenues!$N6*($AC$3+12*($AC$2-$AC$4)*(1+Z$3))</f>
        <v>531.76499999999999</v>
      </c>
      <c r="AA7" s="69">
        <f>Dashboard!$C$28*Revenues!$N6*($AC$3+12*($AC$2-$AC$4)*(1+AA$3))</f>
        <v>531.76499999999999</v>
      </c>
      <c r="AB7" s="69">
        <f>Dashboard!$C$28*Revenues!$N6*($AC$3+12*($AC$2-$AC$4)*(1+AB$3))</f>
        <v>531.76499999999999</v>
      </c>
      <c r="AC7" s="51">
        <f>SUM(Table21112325[[#This Row],[2026]:[2032]])</f>
        <v>3438.7469999999994</v>
      </c>
      <c r="AD7" s="55"/>
      <c r="AE7" s="150" t="s">
        <v>3</v>
      </c>
      <c r="AF7" s="69">
        <f>Dashboard!$C$35*B41*(V41*Dashboard!$C$34)+Dashboard!$C$38*Dashboard!$C$36*B41*(V41*Dashboard!$C$34)</f>
        <v>52357121.231818862</v>
      </c>
      <c r="AG7" s="69">
        <f>Dashboard!$C$35*C41*(W41*Dashboard!$C$34)+Dashboard!$C$38*Dashboard!$C$36*C41*(W41*Dashboard!$C$34)+Dashboard!$C$38*B41*Dashboard!$C$36*14/15*(V41*Dashboard!$C$34)</f>
        <v>49790672.967796184</v>
      </c>
      <c r="AH7" s="69">
        <f>Dashboard!$C$35*D41*(X41*Dashboard!$C$34)+Dashboard!$C$38*Dashboard!$C$36*D41*(X41*Dashboard!$C$34)+Dashboard!$C$38*B41*Dashboard!$C$36*13/15*(V41*Dashboard!$C$34)+Dashboard!$C$38*C41*Dashboard!$C$36*14/15*(W41*Dashboard!$C$34)</f>
        <v>47474755.524184562</v>
      </c>
      <c r="AI7" s="69">
        <f>Dashboard!$C$35*E41*(Y41*Dashboard!$C$34)+Dashboard!$C$38*Dashboard!$C$36*E41*(Y41*Dashboard!$C$34)+Dashboard!$C$38*B41*Dashboard!$C$36*12/15*(V41*Dashboard!$C$34)+Dashboard!$C$38*C41*Dashboard!$C$36*13/15*(W41*Dashboard!$C$34)+Dashboard!$C$38*D41*Dashboard!$C$36*14/15*(X41*Dashboard!$C$34)</f>
        <v>46068138.797067001</v>
      </c>
      <c r="AJ7" s="69">
        <f>Dashboard!$C$35*F41*(Z41*Dashboard!$C$34)+Dashboard!$C$38*Dashboard!$C$36*F41*(Z41*Dashboard!$C$34)+Dashboard!$C$38*B41*Dashboard!$C$36*11/15*(V41*Dashboard!$C$34)+Dashboard!$C$38*C41*Dashboard!$C$36*12/15*(W41*Dashboard!$C$34)+Dashboard!$C$38*D41*Dashboard!$C$36*13/15*(X41*Dashboard!$C$34)+Dashboard!$C$38*E41*Dashboard!$C$36*14/15*(Y41*Dashboard!$C$34)</f>
        <v>45537023.478149027</v>
      </c>
      <c r="AK7" s="69">
        <f>Dashboard!$C$35*G41*(AA41*Dashboard!$C$34)+Dashboard!$C$38*Dashboard!$C$36*G41*(AA41*Dashboard!$C$34)+Dashboard!$C$38*B41*Dashboard!$C$36*10/15*(V41*Dashboard!$C$34)+Dashboard!$C$38*C41*Dashboard!$C$36*11/15*(W41*Dashboard!$C$34)+Dashboard!$C$38*D41*Dashboard!$C$36*12/15*(X41*Dashboard!$C$34)+Dashboard!$C$38*E41*Dashboard!$C$36*13/15*(Y41*Dashboard!$C$34)+Dashboard!$C$38*F41*Dashboard!$C$36*14/15*(Z41*Dashboard!$C$34)</f>
        <v>44970309.065622367</v>
      </c>
      <c r="AL7" s="69">
        <f>Dashboard!$C$35*H41*(AB41*Dashboard!$C$34)+Dashboard!$C$38*Dashboard!$C$36*H41*(AB41*Dashboard!$C$34)+Dashboard!$C$38*Dashboard!$C$36*B41*9/15*(V41*Dashboard!$C$34)+Dashboard!$C$38*C41*Dashboard!$C$36*10/15*(W41*Dashboard!$C$34)+Dashboard!$C$38*D41*Dashboard!$C$36*11/15*(X41*Dashboard!$C$34)+Dashboard!$C$38*E41*Dashboard!$C$36*12/15*(Y41*Dashboard!$C$34)+Dashboard!$C$38*F41*Dashboard!$C$36*13/15*(Z41*Dashboard!$C$34)+Dashboard!$C$38*G41*Dashboard!$C$36*14/15*(AA41*Dashboard!$C$34)</f>
        <v>44402965.081635028</v>
      </c>
      <c r="AO7" s="147"/>
      <c r="AP7" s="150" t="s">
        <v>3</v>
      </c>
      <c r="AQ7" s="258">
        <f>Tabelle8[[#This Row],[2026]]/1000000</f>
        <v>52.357121231818866</v>
      </c>
      <c r="AR7" s="258">
        <f>Tabelle8[[#This Row],[2027]]/1000000</f>
        <v>49.790672967796183</v>
      </c>
      <c r="AS7" s="258">
        <f>Tabelle8[[#This Row],[2028]]/1000000</f>
        <v>47.474755524184559</v>
      </c>
      <c r="AT7" s="258">
        <f>Tabelle8[[#This Row],[2029]]/1000000</f>
        <v>46.068138797067</v>
      </c>
      <c r="AU7" s="258">
        <f>Tabelle8[[#This Row],[2030]]/1000000</f>
        <v>45.537023478149024</v>
      </c>
      <c r="AV7" s="258">
        <f>Tabelle8[[#This Row],[2031]]/1000000</f>
        <v>44.970309065622367</v>
      </c>
      <c r="AW7" s="258">
        <f>Tabelle8[[#This Row],[2032]]/1000000</f>
        <v>44.402965081635031</v>
      </c>
      <c r="AX7" s="69">
        <f>Tabelle8[[#This Row],[2033]]/1000000</f>
        <v>0</v>
      </c>
      <c r="AY7" s="69">
        <f>Tabelle8[[#This Row],[2034]]/1000000</f>
        <v>0</v>
      </c>
      <c r="AZ7" s="76">
        <f>Tabelle8[[#This Row],[2035]]/1000000</f>
        <v>0</v>
      </c>
      <c r="BA7" t="s">
        <v>3</v>
      </c>
      <c r="BB7" s="164">
        <f>Table211123[[#This Row],[2026]]/(Revenues!$N6*Dashboard!$E$26)</f>
        <v>0</v>
      </c>
      <c r="BC7" s="164">
        <f>Table211123[[#This Row],[2027]]/(Revenues!$N6*Dashboard!$E$26)</f>
        <v>0</v>
      </c>
      <c r="BD7" s="164">
        <f>Table211123[[#This Row],[2028]]/(Revenues!$N6*Dashboard!$E$26)</f>
        <v>70</v>
      </c>
      <c r="BE7" s="164">
        <f>Table211123[[#This Row],[2029]]/(Revenues!$N6*Dashboard!$E$26)</f>
        <v>81.808695652173924</v>
      </c>
      <c r="BF7" s="164">
        <f>Table211123[[#This Row],[2030]]/(Revenues!$N6*Dashboard!$E$26)</f>
        <v>93.8</v>
      </c>
      <c r="BG7" s="164">
        <f>Table211123[[#This Row],[2031]]/(Revenues!$N6*Dashboard!$E$26)</f>
        <v>96.417391304347817</v>
      </c>
      <c r="BH7" s="164">
        <f>Table211123[[#This Row],[2032]]/(Revenues!$N6*Dashboard!$E$26)</f>
        <v>97.147826086956513</v>
      </c>
      <c r="BI7" s="51">
        <f>SUM(Table21112321[[#This Row],[2026]:[2032]])</f>
        <v>439.17391304347825</v>
      </c>
      <c r="BJ7" s="55"/>
    </row>
    <row r="8" spans="1:62" x14ac:dyDescent="0.35">
      <c r="A8" t="s">
        <v>4</v>
      </c>
      <c r="B8" s="134">
        <f>Revenues!CG40</f>
        <v>315.80029887523727</v>
      </c>
      <c r="C8" s="69">
        <f>Revenues!CH40</f>
        <v>721.33363220857063</v>
      </c>
      <c r="D8" s="128">
        <f>Revenues!CI40</f>
        <v>680.2834646624558</v>
      </c>
      <c r="E8" s="128">
        <f>Revenues!CJ40</f>
        <v>768.04637656754232</v>
      </c>
      <c r="F8" s="128">
        <f>Revenues!CK40</f>
        <v>693.92429683990133</v>
      </c>
      <c r="G8" s="128">
        <f>Revenues!CL40</f>
        <v>678.35256455567844</v>
      </c>
      <c r="H8" s="128">
        <f>Revenues!CM40</f>
        <v>648.43351490688747</v>
      </c>
      <c r="I8" s="51">
        <f>SUM(Table21112327[[#This Row],[2026]:[2032]])</f>
        <v>4506.1741486162737</v>
      </c>
      <c r="J8" s="55"/>
      <c r="K8" t="s">
        <v>4</v>
      </c>
      <c r="L8" s="164"/>
      <c r="M8" s="128">
        <f>IF(Dashboard!$C$3=2027,Dashboard!$C$26*Revenues!$N7*Dashboard!$E$26,0)</f>
        <v>0</v>
      </c>
      <c r="N8" s="128">
        <f>IF(Dashboard!$C$3=2027,Dashboard!$C$26*Revenues!$N7*(Dashboard!$E$26-(X$39-$W$39)*2/100)*(1+(Revenues!AV$8-Revenues!$AU$8)/Revenues!$AU$8),Dashboard!$C$26*Revenues!$N7*Dashboard!$E$26)</f>
        <v>225.57500000000002</v>
      </c>
      <c r="O8" s="128">
        <f>IF(Dashboard!$C$3=2027,Dashboard!$C$26*Revenues!$N7*(Dashboard!$E$26-(Y$39-$W$39)*2/100)*(1+(Revenues!AW$8-Revenues!$AU$8)/Revenues!$AU$8),Dashboard!$C$26*Revenues!$N7*(Dashboard!$E$26-(Y$39-$X$39)*2/100)*(1+(Revenues!AW$8-Revenues!$AV$8)/Revenues!$AV$8))</f>
        <v>263.62852173913046</v>
      </c>
      <c r="P8" s="128">
        <f>IF(Dashboard!$C$3=2027,Dashboard!$C$26*Revenues!$N7*(Dashboard!$E$26-(Z$39-$W$39)*2/100)*(1+(Revenues!AX$8-Revenues!$AU$8)/Revenues!$AU$8),Dashboard!$C$26*Revenues!$N7*(Dashboard!$E$26-(Z$39-$X$39)*2/100)*(1+(Revenues!AX$8-Revenues!$AV$8)/Revenues!$AV$8))</f>
        <v>302.27050000000003</v>
      </c>
      <c r="Q8" s="128">
        <f>IF(Dashboard!$C$3=2027,Dashboard!$C$26*Revenues!$N7*(Dashboard!$E$26-(AA$39-$W$39)*2/100)*(1+(Revenues!AY$8-Revenues!$AU$8)/Revenues!$AU$8),Dashboard!$C$26*Revenues!$N7*(Dashboard!$E$26-(AA$39-$X$39)*2/100)*(1+(Revenues!AY$8-Revenues!$AV$8)/Revenues!$AV$8))</f>
        <v>310.7050434782609</v>
      </c>
      <c r="R8" s="128">
        <f>IF(Dashboard!$C$3=2027,Dashboard!$C$26*Revenues!$N7*(Dashboard!$E$26-(AB$39-$W$39)*2/100)*(1+(Revenues!AZ$8-Revenues!$AU$8)/Revenues!$AU$8),Dashboard!$C$26*Revenues!$N7*(Dashboard!$E$26-(AB$39-$X$39)*2/100)*(1+(Revenues!AZ$8-Revenues!$AV$8)/Revenues!$AV$8))</f>
        <v>313.05886956521738</v>
      </c>
      <c r="S8" s="51">
        <f>SUM(Table211123[[#This Row],[2026]:[2032]])</f>
        <v>1415.2379347826086</v>
      </c>
      <c r="T8" s="55"/>
      <c r="U8" t="s">
        <v>4</v>
      </c>
      <c r="V8" s="132">
        <f>Dashboard!$C$28*Revenues!$N7*($AC$3+12*($AC$2-$AC$4))</f>
        <v>174.01500000000001</v>
      </c>
      <c r="W8" s="132">
        <f>Dashboard!$C$28*Revenues!$N7*($AC$3+12*($AC$2-$AC$4)*(1+W$3))</f>
        <v>251.35500000000002</v>
      </c>
      <c r="X8" s="69">
        <f>Dashboard!$C$28*Revenues!$N7*($AC$3+12*($AC$2-$AC$4)*(1+X$3))</f>
        <v>290.02500000000003</v>
      </c>
      <c r="Y8" s="69">
        <f>Dashboard!$C$28*Revenues!$N7*($AC$3+12*($AC$2-$AC$4)*(1+Y$3))</f>
        <v>290.02500000000003</v>
      </c>
      <c r="Z8" s="69">
        <f>Dashboard!$C$28*Revenues!$N7*($AC$3+12*($AC$2-$AC$4)*(1+Z$3))</f>
        <v>290.02500000000003</v>
      </c>
      <c r="AA8" s="69">
        <f>Dashboard!$C$28*Revenues!$N7*($AC$3+12*($AC$2-$AC$4)*(1+AA$3))</f>
        <v>290.02500000000003</v>
      </c>
      <c r="AB8" s="69">
        <f>Dashboard!$C$28*Revenues!$N7*($AC$3+12*($AC$2-$AC$4)*(1+AB$3))</f>
        <v>290.02500000000003</v>
      </c>
      <c r="AC8" s="51">
        <f>SUM(Table21112325[[#This Row],[2026]:[2032]])</f>
        <v>1875.4950000000003</v>
      </c>
      <c r="AD8" s="55"/>
      <c r="AE8" s="150" t="s">
        <v>4</v>
      </c>
      <c r="AF8" s="69">
        <f>Dashboard!$C$35*B42*(V42*Dashboard!$C$34)+Dashboard!$C$38*Dashboard!$C$36*B42*(V42*Dashboard!$C$34)</f>
        <v>21547439.272451211</v>
      </c>
      <c r="AG8" s="69">
        <f>Dashboard!$C$35*C42*(W42*Dashboard!$C$34)+Dashboard!$C$38*Dashboard!$C$36*C42*(W42*Dashboard!$C$34)+Dashboard!$C$38*B42*Dashboard!$C$36*14/15*(V42*Dashboard!$C$34)</f>
        <v>20491224.05637648</v>
      </c>
      <c r="AH8" s="69">
        <f>Dashboard!$C$35*D42*(X42*Dashboard!$C$34)+Dashboard!$C$38*Dashboard!$C$36*D42*(X42*Dashboard!$C$34)+Dashboard!$C$38*B42*Dashboard!$C$36*13/15*(V42*Dashboard!$C$34)+Dashboard!$C$38*C42*Dashboard!$C$36*14/15*(W42*Dashboard!$C$34)</f>
        <v>19538114.158387948</v>
      </c>
      <c r="AI8" s="69">
        <f>Dashboard!$C$35*E42*(Y42*Dashboard!$C$34)+Dashboard!$C$38*Dashboard!$C$36*E42*(Y42*Dashboard!$C$34)+Dashboard!$C$38*B42*Dashboard!$C$36*12/15*(V42*Dashboard!$C$34)+Dashboard!$C$38*C42*Dashboard!$C$36*13/15*(W42*Dashboard!$C$34)+Dashboard!$C$38*D42*Dashboard!$C$36*14/15*(X42*Dashboard!$C$34)</f>
        <v>18959224.643569473</v>
      </c>
      <c r="AJ8" s="69">
        <f>Dashboard!$C$35*F42*(Z42*Dashboard!$C$34)+Dashboard!$C$38*Dashboard!$C$36*F42*(Z42*Dashboard!$C$34)+Dashboard!$C$38*B42*Dashboard!$C$36*11/15*(V42*Dashboard!$C$34)+Dashboard!$C$38*C42*Dashboard!$C$36*12/15*(W42*Dashboard!$C$34)+Dashboard!$C$38*D42*Dashboard!$C$36*13/15*(X42*Dashboard!$C$34)+Dashboard!$C$38*E42*Dashboard!$C$36*14/15*(Y42*Dashboard!$C$34)</f>
        <v>18740645.493077561</v>
      </c>
      <c r="AK8" s="69">
        <f>Dashboard!$C$35*G42*(AA42*Dashboard!$C$34)+Dashboard!$C$38*Dashboard!$C$36*G42*(AA42*Dashboard!$C$34)+Dashboard!$C$38*B42*Dashboard!$C$36*10/15*(V42*Dashboard!$C$34)+Dashboard!$C$38*C42*Dashboard!$C$36*11/15*(W42*Dashboard!$C$34)+Dashboard!$C$38*D42*Dashboard!$C$36*12/15*(X42*Dashboard!$C$34)+Dashboard!$C$38*E42*Dashboard!$C$36*13/15*(Y42*Dashboard!$C$34)+Dashboard!$C$38*F42*Dashboard!$C$36*14/15*(Z42*Dashboard!$C$34)</f>
        <v>18507415.626701325</v>
      </c>
      <c r="AL8" s="69">
        <f>Dashboard!$C$35*H42*(AB42*Dashboard!$C$34)+Dashboard!$C$38*Dashboard!$C$36*H42*(AB42*Dashboard!$C$34)+Dashboard!$C$38*Dashboard!$C$36*B42*9/15*(V42*Dashboard!$C$34)+Dashboard!$C$38*C42*Dashboard!$C$36*10/15*(W42*Dashboard!$C$34)+Dashboard!$C$38*D42*Dashboard!$C$36*11/15*(X42*Dashboard!$C$34)+Dashboard!$C$38*E42*Dashboard!$C$36*12/15*(Y42*Dashboard!$C$34)+Dashboard!$C$38*F42*Dashboard!$C$36*13/15*(Z42*Dashboard!$C$34)+Dashboard!$C$38*G42*Dashboard!$C$36*14/15*(AA42*Dashboard!$C$34)</f>
        <v>18273926.661801398</v>
      </c>
      <c r="AO8" s="147"/>
      <c r="AP8" s="150" t="s">
        <v>4</v>
      </c>
      <c r="AQ8" s="258">
        <f>Tabelle8[[#This Row],[2026]]/1000000</f>
        <v>21.547439272451211</v>
      </c>
      <c r="AR8" s="258">
        <f>Tabelle8[[#This Row],[2027]]/1000000</f>
        <v>20.491224056376481</v>
      </c>
      <c r="AS8" s="258">
        <f>Tabelle8[[#This Row],[2028]]/1000000</f>
        <v>19.538114158387948</v>
      </c>
      <c r="AT8" s="258">
        <f>Tabelle8[[#This Row],[2029]]/1000000</f>
        <v>18.959224643569474</v>
      </c>
      <c r="AU8" s="258">
        <f>Tabelle8[[#This Row],[2030]]/1000000</f>
        <v>18.740645493077562</v>
      </c>
      <c r="AV8" s="258">
        <f>Tabelle8[[#This Row],[2031]]/1000000</f>
        <v>18.507415626701324</v>
      </c>
      <c r="AW8" s="258">
        <f>Tabelle8[[#This Row],[2032]]/1000000</f>
        <v>18.273926661801397</v>
      </c>
      <c r="AX8" s="69">
        <f>Tabelle8[[#This Row],[2033]]/1000000</f>
        <v>0</v>
      </c>
      <c r="AY8" s="69">
        <f>Tabelle8[[#This Row],[2034]]/1000000</f>
        <v>0</v>
      </c>
      <c r="AZ8" s="76">
        <f>Tabelle8[[#This Row],[2035]]/1000000</f>
        <v>0</v>
      </c>
      <c r="BA8" t="s">
        <v>4</v>
      </c>
      <c r="BB8" s="164">
        <f>Table211123[[#This Row],[2026]]/(Revenues!$N7*Dashboard!$E$26)</f>
        <v>0</v>
      </c>
      <c r="BC8" s="164">
        <f>Table211123[[#This Row],[2027]]/(Revenues!$N7*Dashboard!$E$26)</f>
        <v>0</v>
      </c>
      <c r="BD8" s="164">
        <f>Table211123[[#This Row],[2028]]/(Revenues!$N7*Dashboard!$E$26)</f>
        <v>70</v>
      </c>
      <c r="BE8" s="164">
        <f>Table211123[[#This Row],[2029]]/(Revenues!$N7*Dashboard!$E$26)</f>
        <v>81.808695652173924</v>
      </c>
      <c r="BF8" s="164">
        <f>Table211123[[#This Row],[2030]]/(Revenues!$N7*Dashboard!$E$26)</f>
        <v>93.8</v>
      </c>
      <c r="BG8" s="164">
        <f>Table211123[[#This Row],[2031]]/(Revenues!$N7*Dashboard!$E$26)</f>
        <v>96.417391304347831</v>
      </c>
      <c r="BH8" s="164">
        <f>Table211123[[#This Row],[2032]]/(Revenues!$N7*Dashboard!$E$26)</f>
        <v>97.147826086956513</v>
      </c>
      <c r="BI8" s="51">
        <f>SUM(Table21112321[[#This Row],[2026]:[2032]])</f>
        <v>439.17391304347831</v>
      </c>
      <c r="BJ8" s="55"/>
    </row>
    <row r="9" spans="1:62" x14ac:dyDescent="0.35">
      <c r="A9" t="s">
        <v>5</v>
      </c>
      <c r="B9" s="134">
        <f>Revenues!CG41</f>
        <v>198.60388332457524</v>
      </c>
      <c r="C9" s="69">
        <f>Revenues!CH41</f>
        <v>402.95054999124187</v>
      </c>
      <c r="D9" s="128">
        <f>Revenues!CI41</f>
        <v>410.1342364252946</v>
      </c>
      <c r="E9" s="128">
        <f>Revenues!CJ41</f>
        <v>477.64707768879845</v>
      </c>
      <c r="F9" s="128">
        <f>Revenues!CK41</f>
        <v>424.09269734827387</v>
      </c>
      <c r="G9" s="128">
        <f>Revenues!CL41</f>
        <v>415.26500683431482</v>
      </c>
      <c r="H9" s="128">
        <f>Revenues!CM41</f>
        <v>396.64679827784784</v>
      </c>
      <c r="I9" s="51">
        <f>SUM(Table21112327[[#This Row],[2026]:[2032]])</f>
        <v>2725.3402498903461</v>
      </c>
      <c r="J9" s="55"/>
      <c r="K9" t="s">
        <v>5</v>
      </c>
      <c r="L9" s="164"/>
      <c r="M9" s="128">
        <f>IF(Dashboard!$C$3=2027,Dashboard!$C$26*Revenues!$N8*Dashboard!$E$26,0)</f>
        <v>0</v>
      </c>
      <c r="N9" s="128">
        <f>IF(Dashboard!$C$3=2027,Dashboard!$C$26*Revenues!$N8*(Dashboard!$E$26-(X$39-$W$39)*2/100)*(1+(Revenues!AV$8-Revenues!$AU$8)/Revenues!$AU$8),Dashboard!$C$26*Revenues!$N8*Dashboard!$E$26)</f>
        <v>135.17000000000002</v>
      </c>
      <c r="O9" s="128">
        <f>IF(Dashboard!$C$3=2027,Dashboard!$C$26*Revenues!$N8*(Dashboard!$E$26-(Y$39-$W$39)*2/100)*(1+(Revenues!AW$8-Revenues!$AU$8)/Revenues!$AU$8),Dashboard!$C$26*Revenues!$N8*(Dashboard!$E$26-(Y$39-$X$39)*2/100)*(1+(Revenues!AW$8-Revenues!$AV$8)/Revenues!$AV$8))</f>
        <v>157.97259130434784</v>
      </c>
      <c r="P9" s="128">
        <f>IF(Dashboard!$C$3=2027,Dashboard!$C$26*Revenues!$N8*(Dashboard!$E$26-(Z$39-$W$39)*2/100)*(1+(Revenues!AX$8-Revenues!$AU$8)/Revenues!$AU$8),Dashboard!$C$26*Revenues!$N8*(Dashboard!$E$26-(Z$39-$X$39)*2/100)*(1+(Revenues!AX$8-Revenues!$AV$8)/Revenues!$AV$8))</f>
        <v>181.12780000000004</v>
      </c>
      <c r="Q9" s="128">
        <f>IF(Dashboard!$C$3=2027,Dashboard!$C$26*Revenues!$N8*(Dashboard!$E$26-(AA$39-$W$39)*2/100)*(1+(Revenues!AY$8-Revenues!$AU$8)/Revenues!$AU$8),Dashboard!$C$26*Revenues!$N8*(Dashboard!$E$26-(AA$39-$X$39)*2/100)*(1+(Revenues!AY$8-Revenues!$AV$8)/Revenues!$AV$8))</f>
        <v>186.18198260869565</v>
      </c>
      <c r="R9" s="128">
        <f>IF(Dashboard!$C$3=2027,Dashboard!$C$26*Revenues!$N8*(Dashboard!$E$26-(AB$39-$W$39)*2/100)*(1+(Revenues!AZ$8-Revenues!$AU$8)/Revenues!$AU$8),Dashboard!$C$26*Revenues!$N8*(Dashboard!$E$26-(AB$39-$X$39)*2/100)*(1+(Revenues!AZ$8-Revenues!$AV$8)/Revenues!$AV$8))</f>
        <v>187.59245217391307</v>
      </c>
      <c r="S9" s="51">
        <f>SUM(Table211123[[#This Row],[2026]:[2032]])</f>
        <v>848.04482608695673</v>
      </c>
      <c r="T9" s="55"/>
      <c r="U9" t="s">
        <v>5</v>
      </c>
      <c r="V9" s="132">
        <f>Dashboard!$C$28*Revenues!$N8*($AC$3+12*($AC$2-$AC$4))</f>
        <v>104.274</v>
      </c>
      <c r="W9" s="132">
        <f>Dashboard!$C$28*Revenues!$N8*($AC$3+12*($AC$2-$AC$4)*(1+W$3))</f>
        <v>150.61799999999999</v>
      </c>
      <c r="X9" s="69">
        <f>Dashboard!$C$28*Revenues!$N8*($AC$3+12*($AC$2-$AC$4)*(1+X$3))</f>
        <v>173.79000000000002</v>
      </c>
      <c r="Y9" s="69">
        <f>Dashboard!$C$28*Revenues!$N8*($AC$3+12*($AC$2-$AC$4)*(1+Y$3))</f>
        <v>173.79000000000002</v>
      </c>
      <c r="Z9" s="69">
        <f>Dashboard!$C$28*Revenues!$N8*($AC$3+12*($AC$2-$AC$4)*(1+Z$3))</f>
        <v>173.79000000000002</v>
      </c>
      <c r="AA9" s="69">
        <f>Dashboard!$C$28*Revenues!$N8*($AC$3+12*($AC$2-$AC$4)*(1+AA$3))</f>
        <v>173.79000000000002</v>
      </c>
      <c r="AB9" s="69">
        <f>Dashboard!$C$28*Revenues!$N8*($AC$3+12*($AC$2-$AC$4)*(1+AB$3))</f>
        <v>173.79000000000002</v>
      </c>
      <c r="AC9" s="51">
        <f>SUM(Table21112325[[#This Row],[2026]:[2032]])</f>
        <v>1123.8419999999999</v>
      </c>
      <c r="AD9" s="55"/>
      <c r="AE9" s="150" t="s">
        <v>5</v>
      </c>
      <c r="AF9" s="69">
        <f>Dashboard!$C$35*B43*(V43*Dashboard!$C$34)+Dashboard!$C$38*Dashboard!$C$36*B43*(V43*Dashboard!$C$34)</f>
        <v>12906587.990605295</v>
      </c>
      <c r="AG9" s="69">
        <f>Dashboard!$C$35*C43*(W43*Dashboard!$C$34)+Dashboard!$C$38*Dashboard!$C$36*C43*(W43*Dashboard!$C$34)+Dashboard!$C$38*B43*Dashboard!$C$36*14/15*(V43*Dashboard!$C$34)</f>
        <v>12273931.160672208</v>
      </c>
      <c r="AH9" s="69">
        <f>Dashboard!$C$35*D43*(X43*Dashboard!$C$34)+Dashboard!$C$38*Dashboard!$C$36*D43*(X43*Dashboard!$C$34)+Dashboard!$C$38*B43*Dashboard!$C$36*13/15*(V43*Dashboard!$C$34)+Dashboard!$C$38*C43*Dashboard!$C$36*14/15*(W43*Dashboard!$C$34)</f>
        <v>11703032.846141009</v>
      </c>
      <c r="AI9" s="69">
        <f>Dashboard!$C$35*E43*(Y43*Dashboard!$C$34)+Dashboard!$C$38*Dashboard!$C$36*E43*(Y43*Dashboard!$C$34)+Dashboard!$C$38*B43*Dashboard!$C$36*12/15*(V43*Dashboard!$C$34)+Dashboard!$C$38*C43*Dashboard!$C$36*13/15*(W43*Dashboard!$C$34)+Dashboard!$C$38*D43*Dashboard!$C$36*14/15*(X43*Dashboard!$C$34)</f>
        <v>11356286.842341108</v>
      </c>
      <c r="AJ9" s="69">
        <f>Dashboard!$C$35*F43*(Z43*Dashboard!$C$34)+Dashboard!$C$38*Dashboard!$C$36*F43*(Z43*Dashboard!$C$34)+Dashboard!$C$38*B43*Dashboard!$C$36*11/15*(V43*Dashboard!$C$34)+Dashboard!$C$38*C43*Dashboard!$C$36*12/15*(W43*Dashboard!$C$34)+Dashboard!$C$38*D43*Dashboard!$C$36*13/15*(X43*Dashboard!$C$34)+Dashboard!$C$38*E43*Dashboard!$C$36*14/15*(Y43*Dashboard!$C$34)</f>
        <v>11225361.259812953</v>
      </c>
      <c r="AK9" s="69">
        <f>Dashboard!$C$35*G43*(AA43*Dashboard!$C$34)+Dashboard!$C$38*Dashboard!$C$36*G43*(AA43*Dashboard!$C$34)+Dashboard!$C$38*B43*Dashboard!$C$36*10/15*(V43*Dashboard!$C$34)+Dashboard!$C$38*C43*Dashboard!$C$36*11/15*(W43*Dashboard!$C$34)+Dashboard!$C$38*D43*Dashboard!$C$36*12/15*(X43*Dashboard!$C$34)+Dashboard!$C$38*E43*Dashboard!$C$36*13/15*(Y43*Dashboard!$C$34)+Dashboard!$C$38*F43*Dashboard!$C$36*14/15*(Z43*Dashboard!$C$34)</f>
        <v>11085660.121577442</v>
      </c>
      <c r="AL9" s="69">
        <f>Dashboard!$C$35*H43*(AB43*Dashboard!$C$34)+Dashboard!$C$38*Dashboard!$C$36*H43*(AB43*Dashboard!$C$34)+Dashboard!$C$38*Dashboard!$C$36*B43*9/15*(V43*Dashboard!$C$34)+Dashboard!$C$38*C43*Dashboard!$C$36*10/15*(W43*Dashboard!$C$34)+Dashboard!$C$38*D43*Dashboard!$C$36*11/15*(X43*Dashboard!$C$34)+Dashboard!$C$38*E43*Dashboard!$C$36*12/15*(Y43*Dashboard!$C$34)+Dashboard!$C$38*F43*Dashboard!$C$36*13/15*(Z43*Dashboard!$C$34)+Dashboard!$C$38*G43*Dashboard!$C$36*14/15*(AA43*Dashboard!$C$34)</f>
        <v>10945803.787271904</v>
      </c>
      <c r="AO9" s="147"/>
      <c r="AP9" s="150" t="s">
        <v>5</v>
      </c>
      <c r="AQ9" s="258">
        <f>Tabelle8[[#This Row],[2026]]/1000000</f>
        <v>12.906587990605294</v>
      </c>
      <c r="AR9" s="258">
        <f>Tabelle8[[#This Row],[2027]]/1000000</f>
        <v>12.273931160672209</v>
      </c>
      <c r="AS9" s="258">
        <f>Tabelle8[[#This Row],[2028]]/1000000</f>
        <v>11.703032846141008</v>
      </c>
      <c r="AT9" s="258">
        <f>Tabelle8[[#This Row],[2029]]/1000000</f>
        <v>11.356286842341108</v>
      </c>
      <c r="AU9" s="258">
        <f>Tabelle8[[#This Row],[2030]]/1000000</f>
        <v>11.225361259812953</v>
      </c>
      <c r="AV9" s="258">
        <f>Tabelle8[[#This Row],[2031]]/1000000</f>
        <v>11.085660121577442</v>
      </c>
      <c r="AW9" s="258">
        <f>Tabelle8[[#This Row],[2032]]/1000000</f>
        <v>10.945803787271904</v>
      </c>
      <c r="AX9" s="69">
        <f>Tabelle8[[#This Row],[2033]]/1000000</f>
        <v>0</v>
      </c>
      <c r="AY9" s="69">
        <f>Tabelle8[[#This Row],[2034]]/1000000</f>
        <v>0</v>
      </c>
      <c r="AZ9" s="76">
        <f>Tabelle8[[#This Row],[2035]]/1000000</f>
        <v>0</v>
      </c>
      <c r="BA9" t="s">
        <v>5</v>
      </c>
      <c r="BB9" s="164">
        <f>Table211123[[#This Row],[2026]]/(Revenues!$N8*Dashboard!$E$26)</f>
        <v>0</v>
      </c>
      <c r="BC9" s="164">
        <f>Table211123[[#This Row],[2027]]/(Revenues!$N8*Dashboard!$E$26)</f>
        <v>0</v>
      </c>
      <c r="BD9" s="164">
        <f>Table211123[[#This Row],[2028]]/(Revenues!$N8*Dashboard!$E$26)</f>
        <v>70</v>
      </c>
      <c r="BE9" s="164">
        <f>Table211123[[#This Row],[2029]]/(Revenues!$N8*Dashboard!$E$26)</f>
        <v>81.808695652173924</v>
      </c>
      <c r="BF9" s="164">
        <f>Table211123[[#This Row],[2030]]/(Revenues!$N8*Dashboard!$E$26)</f>
        <v>93.800000000000011</v>
      </c>
      <c r="BG9" s="164">
        <f>Table211123[[#This Row],[2031]]/(Revenues!$N8*Dashboard!$E$26)</f>
        <v>96.417391304347817</v>
      </c>
      <c r="BH9" s="164">
        <f>Table211123[[#This Row],[2032]]/(Revenues!$N8*Dashboard!$E$26)</f>
        <v>97.147826086956542</v>
      </c>
      <c r="BI9" s="51">
        <f>SUM(Table21112321[[#This Row],[2026]:[2032]])</f>
        <v>439.17391304347825</v>
      </c>
      <c r="BJ9" s="55"/>
    </row>
    <row r="10" spans="1:62" x14ac:dyDescent="0.35">
      <c r="A10" t="s">
        <v>6</v>
      </c>
      <c r="B10" s="134">
        <f>Revenues!CG42</f>
        <v>42.225467032553162</v>
      </c>
      <c r="C10" s="69">
        <f>Revenues!CH42</f>
        <v>63.292133699219832</v>
      </c>
      <c r="D10" s="128">
        <f>Revenues!CI42</f>
        <v>79.389102556424149</v>
      </c>
      <c r="E10" s="128">
        <f>Revenues!CJ42</f>
        <v>99.182283699794112</v>
      </c>
      <c r="F10" s="128">
        <f>Revenues!CK42</f>
        <v>84.732082830233722</v>
      </c>
      <c r="G10" s="128">
        <f>Revenues!CL42</f>
        <v>83.281369533260374</v>
      </c>
      <c r="H10" s="128">
        <f>Revenues!CM42</f>
        <v>79.410168438125993</v>
      </c>
      <c r="I10" s="51">
        <f>SUM(Table21112327[[#This Row],[2026]:[2032]])</f>
        <v>531.51260778961137</v>
      </c>
      <c r="J10" s="55"/>
      <c r="K10" t="s">
        <v>6</v>
      </c>
      <c r="L10" s="164"/>
      <c r="M10" s="128">
        <f>IF(Dashboard!$C$3=2027,Dashboard!$C$26*Revenues!$N9*Dashboard!$E$26,0)</f>
        <v>0</v>
      </c>
      <c r="N10" s="128">
        <f>IF(Dashboard!$C$3=2027,Dashboard!$C$26*Revenues!$N9*(Dashboard!$E$26-(X$39-$W$39)*2/100)*(1+(Revenues!AV$8-Revenues!$AU$8)/Revenues!$AU$8),Dashboard!$C$26*Revenues!$N9*Dashboard!$E$26)</f>
        <v>33.81</v>
      </c>
      <c r="O10" s="128">
        <f>IF(Dashboard!$C$3=2027,Dashboard!$C$26*Revenues!$N9*(Dashboard!$E$26-(Y$39-$W$39)*2/100)*(1+(Revenues!AW$8-Revenues!$AU$8)/Revenues!$AU$8),Dashboard!$C$26*Revenues!$N9*(Dashboard!$E$26-(Y$39-$X$39)*2/100)*(1+(Revenues!AW$8-Revenues!$AV$8)/Revenues!$AV$8))</f>
        <v>39.513600000000004</v>
      </c>
      <c r="P10" s="128">
        <f>IF(Dashboard!$C$3=2027,Dashboard!$C$26*Revenues!$N9*(Dashboard!$E$26-(Z$39-$W$39)*2/100)*(1+(Revenues!AX$8-Revenues!$AU$8)/Revenues!$AU$8),Dashboard!$C$26*Revenues!$N9*(Dashboard!$E$26-(Z$39-$X$39)*2/100)*(1+(Revenues!AX$8-Revenues!$AV$8)/Revenues!$AV$8))</f>
        <v>45.305400000000006</v>
      </c>
      <c r="Q10" s="128">
        <f>IF(Dashboard!$C$3=2027,Dashboard!$C$26*Revenues!$N9*(Dashboard!$E$26-(AA$39-$W$39)*2/100)*(1+(Revenues!AY$8-Revenues!$AU$8)/Revenues!$AU$8),Dashboard!$C$26*Revenues!$N9*(Dashboard!$E$26-(AA$39-$X$39)*2/100)*(1+(Revenues!AY$8-Revenues!$AV$8)/Revenues!$AV$8))</f>
        <v>46.569599999999994</v>
      </c>
      <c r="R10" s="128">
        <f>IF(Dashboard!$C$3=2027,Dashboard!$C$26*Revenues!$N9*(Dashboard!$E$26-(AB$39-$W$39)*2/100)*(1+(Revenues!AZ$8-Revenues!$AU$8)/Revenues!$AU$8),Dashboard!$C$26*Revenues!$N9*(Dashboard!$E$26-(AB$39-$X$39)*2/100)*(1+(Revenues!AZ$8-Revenues!$AV$8)/Revenues!$AV$8))</f>
        <v>46.922400000000003</v>
      </c>
      <c r="S10" s="51">
        <f>SUM(Table211123[[#This Row],[2026]:[2032]])</f>
        <v>212.12100000000001</v>
      </c>
      <c r="T10" s="55"/>
      <c r="U10" t="s">
        <v>6</v>
      </c>
      <c r="V10" s="132">
        <f>Dashboard!$C$28*Revenues!$N9*($AC$3+12*($AC$2-$AC$4))</f>
        <v>26.082000000000001</v>
      </c>
      <c r="W10" s="132">
        <f>Dashboard!$C$28*Revenues!$N9*($AC$3+12*($AC$2-$AC$4)*(1+W$3))</f>
        <v>37.673999999999999</v>
      </c>
      <c r="X10" s="69">
        <f>Dashboard!$C$28*Revenues!$N9*($AC$3+12*($AC$2-$AC$4)*(1+X$3))</f>
        <v>43.47</v>
      </c>
      <c r="Y10" s="69">
        <f>Dashboard!$C$28*Revenues!$N9*($AC$3+12*($AC$2-$AC$4)*(1+Y$3))</f>
        <v>43.47</v>
      </c>
      <c r="Z10" s="69">
        <f>Dashboard!$C$28*Revenues!$N9*($AC$3+12*($AC$2-$AC$4)*(1+Z$3))</f>
        <v>43.47</v>
      </c>
      <c r="AA10" s="69">
        <f>Dashboard!$C$28*Revenues!$N9*($AC$3+12*($AC$2-$AC$4)*(1+AA$3))</f>
        <v>43.47</v>
      </c>
      <c r="AB10" s="69">
        <f>Dashboard!$C$28*Revenues!$N9*($AC$3+12*($AC$2-$AC$4)*(1+AB$3))</f>
        <v>43.47</v>
      </c>
      <c r="AC10" s="51">
        <f>SUM(Table21112325[[#This Row],[2026]:[2032]])</f>
        <v>281.10599999999999</v>
      </c>
      <c r="AD10" s="55"/>
      <c r="AE10" s="150" t="s">
        <v>6</v>
      </c>
      <c r="AF10" s="69">
        <f>Dashboard!$C$35*B44*(V44*Dashboard!$C$34)+Dashboard!$C$38*Dashboard!$C$36*B44*(V44*Dashboard!$C$34)</f>
        <v>3620824.4282032414</v>
      </c>
      <c r="AG10" s="69">
        <f>Dashboard!$C$35*C44*(W44*Dashboard!$C$34)+Dashboard!$C$38*Dashboard!$C$36*C44*(W44*Dashboard!$C$34)+Dashboard!$C$38*B44*Dashboard!$C$36*14/15*(V44*Dashboard!$C$34)</f>
        <v>3443338.3795156432</v>
      </c>
      <c r="AH10" s="69">
        <f>Dashboard!$C$35*D44*(X44*Dashboard!$C$34)+Dashboard!$C$38*Dashboard!$C$36*D44*(X44*Dashboard!$C$34)+Dashboard!$C$38*B44*Dashboard!$C$36*13/15*(V44*Dashboard!$C$34)+Dashboard!$C$38*C44*Dashboard!$C$36*14/15*(W44*Dashboard!$C$34)</f>
        <v>3283178.1137057096</v>
      </c>
      <c r="AI10" s="69">
        <f>Dashboard!$C$35*E44*(Y44*Dashboard!$C$34)+Dashboard!$C$38*Dashboard!$C$36*E44*(Y44*Dashboard!$C$34)+Dashboard!$C$38*B44*Dashboard!$C$36*12/15*(V44*Dashboard!$C$34)+Dashboard!$C$38*C44*Dashboard!$C$36*13/15*(W44*Dashboard!$C$34)+Dashboard!$C$38*D44*Dashboard!$C$36*14/15*(X44*Dashboard!$C$34)</f>
        <v>3185901.7148732366</v>
      </c>
      <c r="AJ10" s="69">
        <f>Dashboard!$C$35*F44*(Z44*Dashboard!$C$34)+Dashboard!$C$38*Dashboard!$C$36*F44*(Z44*Dashboard!$C$34)+Dashboard!$C$38*B44*Dashboard!$C$36*11/15*(V44*Dashboard!$C$34)+Dashboard!$C$38*C44*Dashboard!$C$36*12/15*(W44*Dashboard!$C$34)+Dashboard!$C$38*D44*Dashboard!$C$36*13/15*(X44*Dashboard!$C$34)+Dashboard!$C$38*E44*Dashboard!$C$36*14/15*(Y44*Dashboard!$C$34)</f>
        <v>3149171.7481430871</v>
      </c>
      <c r="AK10" s="69">
        <f>Dashboard!$C$35*G44*(AA44*Dashboard!$C$34)+Dashboard!$C$38*Dashboard!$C$36*G44*(AA44*Dashboard!$C$34)+Dashboard!$C$38*B44*Dashboard!$C$36*10/15*(V44*Dashboard!$C$34)+Dashboard!$C$38*C44*Dashboard!$C$36*11/15*(W44*Dashboard!$C$34)+Dashboard!$C$38*D44*Dashboard!$C$36*12/15*(X44*Dashboard!$C$34)+Dashboard!$C$38*E44*Dashboard!$C$36*13/15*(Y44*Dashboard!$C$34)+Dashboard!$C$38*F44*Dashboard!$C$36*14/15*(Z44*Dashboard!$C$34)</f>
        <v>3109979.8800568716</v>
      </c>
      <c r="AL10" s="69">
        <f>Dashboard!$C$35*H44*(AB44*Dashboard!$C$34)+Dashboard!$C$38*Dashboard!$C$36*H44*(AB44*Dashboard!$C$34)+Dashboard!$C$38*Dashboard!$C$36*B44*9/15*(V44*Dashboard!$C$34)+Dashboard!$C$38*C44*Dashboard!$C$36*10/15*(W44*Dashboard!$C$34)+Dashboard!$C$38*D44*Dashboard!$C$36*11/15*(X44*Dashboard!$C$34)+Dashboard!$C$38*E44*Dashboard!$C$36*12/15*(Y44*Dashboard!$C$34)+Dashboard!$C$38*F44*Dashboard!$C$36*13/15*(Z44*Dashboard!$C$34)+Dashboard!$C$38*G44*Dashboard!$C$36*14/15*(AA44*Dashboard!$C$34)</f>
        <v>3070744.4731421196</v>
      </c>
      <c r="AO10" s="147"/>
      <c r="AP10" s="150" t="s">
        <v>6</v>
      </c>
      <c r="AQ10" s="258">
        <f>Tabelle8[[#This Row],[2026]]/1000000</f>
        <v>3.6208244282032416</v>
      </c>
      <c r="AR10" s="258">
        <f>Tabelle8[[#This Row],[2027]]/1000000</f>
        <v>3.4433383795156431</v>
      </c>
      <c r="AS10" s="258">
        <f>Tabelle8[[#This Row],[2028]]/1000000</f>
        <v>3.2831781137057097</v>
      </c>
      <c r="AT10" s="258">
        <f>Tabelle8[[#This Row],[2029]]/1000000</f>
        <v>3.1859017148732365</v>
      </c>
      <c r="AU10" s="258">
        <f>Tabelle8[[#This Row],[2030]]/1000000</f>
        <v>3.149171748143087</v>
      </c>
      <c r="AV10" s="258">
        <f>Tabelle8[[#This Row],[2031]]/1000000</f>
        <v>3.1099798800568714</v>
      </c>
      <c r="AW10" s="258">
        <f>Tabelle8[[#This Row],[2032]]/1000000</f>
        <v>3.0707444731421196</v>
      </c>
      <c r="AX10" s="69">
        <f>Tabelle8[[#This Row],[2033]]/1000000</f>
        <v>0</v>
      </c>
      <c r="AY10" s="69">
        <f>Tabelle8[[#This Row],[2034]]/1000000</f>
        <v>0</v>
      </c>
      <c r="AZ10" s="76">
        <f>Tabelle8[[#This Row],[2035]]/1000000</f>
        <v>0</v>
      </c>
      <c r="BA10" t="s">
        <v>6</v>
      </c>
      <c r="BB10" s="164">
        <f>Table211123[[#This Row],[2026]]/(Revenues!$N9*Dashboard!$E$26)</f>
        <v>0</v>
      </c>
      <c r="BC10" s="164">
        <f>Table211123[[#This Row],[2027]]/(Revenues!$N9*Dashboard!$E$26)</f>
        <v>0</v>
      </c>
      <c r="BD10" s="164">
        <f>Table211123[[#This Row],[2028]]/(Revenues!$N9*Dashboard!$E$26)</f>
        <v>70</v>
      </c>
      <c r="BE10" s="164">
        <f>Table211123[[#This Row],[2029]]/(Revenues!$N9*Dashboard!$E$26)</f>
        <v>81.808695652173924</v>
      </c>
      <c r="BF10" s="164">
        <f>Table211123[[#This Row],[2030]]/(Revenues!$N9*Dashboard!$E$26)</f>
        <v>93.800000000000011</v>
      </c>
      <c r="BG10" s="164">
        <f>Table211123[[#This Row],[2031]]/(Revenues!$N9*Dashboard!$E$26)</f>
        <v>96.417391304347817</v>
      </c>
      <c r="BH10" s="164">
        <f>Table211123[[#This Row],[2032]]/(Revenues!$N9*Dashboard!$E$26)</f>
        <v>97.147826086956528</v>
      </c>
      <c r="BI10" s="51">
        <f>SUM(Table21112321[[#This Row],[2026]:[2032]])</f>
        <v>439.17391304347825</v>
      </c>
      <c r="BJ10" s="55"/>
    </row>
    <row r="11" spans="1:62" x14ac:dyDescent="0.35">
      <c r="A11" t="s">
        <v>7</v>
      </c>
      <c r="B11" s="134">
        <f>Revenues!CG43</f>
        <v>547.93081417472126</v>
      </c>
      <c r="C11" s="69">
        <f>Revenues!CH43</f>
        <v>800.73081417472133</v>
      </c>
      <c r="D11" s="128">
        <f>Revenues!CI43</f>
        <v>1022.9999875869503</v>
      </c>
      <c r="E11" s="128">
        <f>Revenues!CJ43</f>
        <v>1284.8412224960548</v>
      </c>
      <c r="F11" s="128">
        <f>Revenues!CK43</f>
        <v>1094.5150845397973</v>
      </c>
      <c r="G11" s="128">
        <f>Revenues!CL43</f>
        <v>1076.081825032637</v>
      </c>
      <c r="H11" s="128">
        <f>Revenues!CM43</f>
        <v>1025.9280932136314</v>
      </c>
      <c r="I11" s="51">
        <f>SUM(Table21112327[[#This Row],[2026]:[2032]])</f>
        <v>6853.0278412185144</v>
      </c>
      <c r="J11" s="55"/>
      <c r="K11" t="s">
        <v>7</v>
      </c>
      <c r="L11" s="164"/>
      <c r="M11" s="128">
        <f>IF(Dashboard!$C$3=2027,Dashboard!$C$26*Revenues!$N10*Dashboard!$E$26,0)</f>
        <v>0</v>
      </c>
      <c r="N11" s="128">
        <f>IF(Dashboard!$C$3=2027,Dashboard!$C$26*Revenues!$N10*(Dashboard!$E$26-(X$39-$W$39)*2/100)*(1+(Revenues!AV$8-Revenues!$AU$8)/Revenues!$AU$8),Dashboard!$C$26*Revenues!$N10*Dashboard!$E$26)</f>
        <v>381.53499999999997</v>
      </c>
      <c r="O11" s="128">
        <f>IF(Dashboard!$C$3=2027,Dashboard!$C$26*Revenues!$N10*(Dashboard!$E$26-(Y$39-$W$39)*2/100)*(1+(Revenues!AW$8-Revenues!$AU$8)/Revenues!$AU$8),Dashboard!$C$26*Revenues!$N10*(Dashboard!$E$26-(Y$39-$X$39)*2/100)*(1+(Revenues!AW$8-Revenues!$AV$8)/Revenues!$AV$8))</f>
        <v>445.89829565217383</v>
      </c>
      <c r="P11" s="128">
        <f>IF(Dashboard!$C$3=2027,Dashboard!$C$26*Revenues!$N10*(Dashboard!$E$26-(Z$39-$W$39)*2/100)*(1+(Revenues!AX$8-Revenues!$AU$8)/Revenues!$AU$8),Dashboard!$C$26*Revenues!$N10*(Dashboard!$E$26-(Z$39-$X$39)*2/100)*(1+(Revenues!AX$8-Revenues!$AV$8)/Revenues!$AV$8))</f>
        <v>511.25690000000003</v>
      </c>
      <c r="Q11" s="128">
        <f>IF(Dashboard!$C$3=2027,Dashboard!$C$26*Revenues!$N10*(Dashboard!$E$26-(AA$39-$W$39)*2/100)*(1+(Revenues!AY$8-Revenues!$AU$8)/Revenues!$AU$8),Dashboard!$C$26*Revenues!$N10*(Dashboard!$E$26-(AA$39-$X$39)*2/100)*(1+(Revenues!AY$8-Revenues!$AV$8)/Revenues!$AV$8))</f>
        <v>525.52299130434778</v>
      </c>
      <c r="R11" s="128">
        <f>IF(Dashboard!$C$3=2027,Dashboard!$C$26*Revenues!$N10*(Dashboard!$E$26-(AB$39-$W$39)*2/100)*(1+(Revenues!AZ$8-Revenues!$AU$8)/Revenues!$AU$8),Dashboard!$C$26*Revenues!$N10*(Dashboard!$E$26-(AB$39-$X$39)*2/100)*(1+(Revenues!AZ$8-Revenues!$AV$8)/Revenues!$AV$8))</f>
        <v>529.50422608695646</v>
      </c>
      <c r="S11" s="51">
        <f>SUM(Table211123[[#This Row],[2026]:[2032]])</f>
        <v>2393.7174130434778</v>
      </c>
      <c r="T11" s="55"/>
      <c r="U11" t="s">
        <v>7</v>
      </c>
      <c r="V11" s="132">
        <f>Dashboard!$C$28*Revenues!$N10*($AC$3+12*($AC$2-$AC$4))</f>
        <v>294.327</v>
      </c>
      <c r="W11" s="132">
        <f>Dashboard!$C$28*Revenues!$N10*($AC$3+12*($AC$2-$AC$4)*(1+W$3))</f>
        <v>425.13900000000001</v>
      </c>
      <c r="X11" s="69">
        <f>Dashboard!$C$28*Revenues!$N10*($AC$3+12*($AC$2-$AC$4)*(1+X$3))</f>
        <v>490.54499999999996</v>
      </c>
      <c r="Y11" s="69">
        <f>Dashboard!$C$28*Revenues!$N10*($AC$3+12*($AC$2-$AC$4)*(1+Y$3))</f>
        <v>490.54499999999996</v>
      </c>
      <c r="Z11" s="69">
        <f>Dashboard!$C$28*Revenues!$N10*($AC$3+12*($AC$2-$AC$4)*(1+Z$3))</f>
        <v>490.54499999999996</v>
      </c>
      <c r="AA11" s="69">
        <f>Dashboard!$C$28*Revenues!$N10*($AC$3+12*($AC$2-$AC$4)*(1+AA$3))</f>
        <v>490.54499999999996</v>
      </c>
      <c r="AB11" s="69">
        <f>Dashboard!$C$28*Revenues!$N10*($AC$3+12*($AC$2-$AC$4)*(1+AB$3))</f>
        <v>490.54499999999996</v>
      </c>
      <c r="AC11" s="51">
        <f>SUM(Table21112325[[#This Row],[2026]:[2032]])</f>
        <v>3172.1910000000003</v>
      </c>
      <c r="AD11" s="55"/>
      <c r="AE11" s="150" t="s">
        <v>7</v>
      </c>
      <c r="AF11" s="69">
        <f>Dashboard!$C$35*B45*(V45*Dashboard!$C$34)+Dashboard!$C$38*Dashboard!$C$36*B45*(V45*Dashboard!$C$34)</f>
        <v>78714585.642240018</v>
      </c>
      <c r="AG11" s="69">
        <f>Dashboard!$C$35*C45*(W45*Dashboard!$C$34)+Dashboard!$C$38*Dashboard!$C$36*C45*(W45*Dashboard!$C$34)+Dashboard!$C$38*B45*Dashboard!$C$36*14/15*(V45*Dashboard!$C$34)</f>
        <v>76551473.068467215</v>
      </c>
      <c r="AH11" s="69">
        <f>Dashboard!$C$35*D45*(X45*Dashboard!$C$34)+Dashboard!$C$38*Dashboard!$C$36*D45*(X45*Dashboard!$C$34)+Dashboard!$C$38*B45*Dashboard!$C$36*13/15*(V45*Dashboard!$C$34)+Dashboard!$C$38*C45*Dashboard!$C$36*14/15*(W45*Dashboard!$C$34)</f>
        <v>74879123.347413391</v>
      </c>
      <c r="AI11" s="69">
        <f>Dashboard!$C$35*E45*(Y45*Dashboard!$C$34)+Dashboard!$C$38*Dashboard!$C$36*E45*(Y45*Dashboard!$C$34)+Dashboard!$C$38*B45*Dashboard!$C$36*12/15*(V45*Dashboard!$C$34)+Dashboard!$C$38*C45*Dashboard!$C$36*13/15*(W45*Dashboard!$C$34)+Dashboard!$C$38*D45*Dashboard!$C$36*14/15*(X45*Dashboard!$C$34)</f>
        <v>74882186.094383717</v>
      </c>
      <c r="AJ11" s="69">
        <f>Dashboard!$C$35*F45*(Z45*Dashboard!$C$34)+Dashboard!$C$38*Dashboard!$C$36*F45*(Z45*Dashboard!$C$34)+Dashboard!$C$38*B45*Dashboard!$C$36*11/15*(V45*Dashboard!$C$34)+Dashboard!$C$38*C45*Dashboard!$C$36*12/15*(W45*Dashboard!$C$34)+Dashboard!$C$38*D45*Dashboard!$C$36*13/15*(X45*Dashboard!$C$34)+Dashboard!$C$38*E45*Dashboard!$C$36*14/15*(Y45*Dashboard!$C$34)</f>
        <v>72330197.630994409</v>
      </c>
      <c r="AK11" s="69">
        <f>Dashboard!$C$35*G45*(AA45*Dashboard!$C$34)+Dashboard!$C$38*Dashboard!$C$36*G45*(AA45*Dashboard!$C$34)+Dashboard!$C$38*B45*Dashboard!$C$36*10/15*(V45*Dashboard!$C$34)+Dashboard!$C$38*C45*Dashboard!$C$36*11/15*(W45*Dashboard!$C$34)+Dashboard!$C$38*D45*Dashboard!$C$36*12/15*(X45*Dashboard!$C$34)+Dashboard!$C$38*E45*Dashboard!$C$36*13/15*(Y45*Dashboard!$C$34)+Dashboard!$C$38*F45*Dashboard!$C$36*14/15*(Z45*Dashboard!$C$34)</f>
        <v>69994101.739707932</v>
      </c>
      <c r="AL11" s="69">
        <f>Dashboard!$C$35*H45*(AB45*Dashboard!$C$34)+Dashboard!$C$38*Dashboard!$C$36*H45*(AB45*Dashboard!$C$34)+Dashboard!$C$38*Dashboard!$C$36*B45*9/15*(V45*Dashboard!$C$34)+Dashboard!$C$38*C45*Dashboard!$C$36*10/15*(W45*Dashboard!$C$34)+Dashboard!$C$38*D45*Dashboard!$C$36*11/15*(X45*Dashboard!$C$34)+Dashboard!$C$38*E45*Dashboard!$C$36*12/15*(Y45*Dashboard!$C$34)+Dashboard!$C$38*F45*Dashboard!$C$36*13/15*(Z45*Dashboard!$C$34)+Dashboard!$C$38*G45*Dashboard!$C$36*14/15*(AA45*Dashboard!$C$34)</f>
        <v>69659448.943730146</v>
      </c>
      <c r="AO11" s="147"/>
      <c r="AP11" s="150" t="s">
        <v>7</v>
      </c>
      <c r="AQ11" s="258">
        <f>Tabelle8[[#This Row],[2026]]/1000000</f>
        <v>78.714585642240024</v>
      </c>
      <c r="AR11" s="258">
        <f>Tabelle8[[#This Row],[2027]]/1000000</f>
        <v>76.551473068467217</v>
      </c>
      <c r="AS11" s="258">
        <f>Tabelle8[[#This Row],[2028]]/1000000</f>
        <v>74.879123347413397</v>
      </c>
      <c r="AT11" s="258">
        <f>Tabelle8[[#This Row],[2029]]/1000000</f>
        <v>74.882186094383712</v>
      </c>
      <c r="AU11" s="258">
        <f>Tabelle8[[#This Row],[2030]]/1000000</f>
        <v>72.330197630994405</v>
      </c>
      <c r="AV11" s="258">
        <f>Tabelle8[[#This Row],[2031]]/1000000</f>
        <v>69.994101739707929</v>
      </c>
      <c r="AW11" s="258">
        <f>Tabelle8[[#This Row],[2032]]/1000000</f>
        <v>69.659448943730141</v>
      </c>
      <c r="AX11" s="69">
        <f>Tabelle8[[#This Row],[2033]]/1000000</f>
        <v>0</v>
      </c>
      <c r="AY11" s="69">
        <f>Tabelle8[[#This Row],[2034]]/1000000</f>
        <v>0</v>
      </c>
      <c r="AZ11" s="76">
        <f>Tabelle8[[#This Row],[2035]]/1000000</f>
        <v>0</v>
      </c>
      <c r="BA11" t="s">
        <v>7</v>
      </c>
      <c r="BB11" s="164">
        <f>Table211123[[#This Row],[2026]]/(Revenues!$N10*Dashboard!$E$26)</f>
        <v>0</v>
      </c>
      <c r="BC11" s="164">
        <f>Table211123[[#This Row],[2027]]/(Revenues!$N10*Dashboard!$E$26)</f>
        <v>0</v>
      </c>
      <c r="BD11" s="164">
        <f>Table211123[[#This Row],[2028]]/(Revenues!$N10*Dashboard!$E$26)</f>
        <v>70</v>
      </c>
      <c r="BE11" s="164">
        <f>Table211123[[#This Row],[2029]]/(Revenues!$N10*Dashboard!$E$26)</f>
        <v>81.808695652173895</v>
      </c>
      <c r="BF11" s="164">
        <f>Table211123[[#This Row],[2030]]/(Revenues!$N10*Dashboard!$E$26)</f>
        <v>93.800000000000011</v>
      </c>
      <c r="BG11" s="164">
        <f>Table211123[[#This Row],[2031]]/(Revenues!$N10*Dashboard!$E$26)</f>
        <v>96.417391304347817</v>
      </c>
      <c r="BH11" s="164">
        <f>Table211123[[#This Row],[2032]]/(Revenues!$N10*Dashboard!$E$26)</f>
        <v>97.147826086956513</v>
      </c>
      <c r="BI11" s="51">
        <f>SUM(Table21112321[[#This Row],[2026]:[2032]])</f>
        <v>439.17391304347825</v>
      </c>
      <c r="BJ11" s="55"/>
    </row>
    <row r="12" spans="1:62" x14ac:dyDescent="0.35">
      <c r="A12" t="s">
        <v>8</v>
      </c>
      <c r="B12" s="134">
        <f>Revenues!CG44</f>
        <v>232.71234937199475</v>
      </c>
      <c r="C12" s="69">
        <f>Revenues!CH44</f>
        <v>285.3790160386614</v>
      </c>
      <c r="D12" s="128">
        <f>Revenues!CI44</f>
        <v>415.39010083298803</v>
      </c>
      <c r="E12" s="128">
        <f>Revenues!CJ44</f>
        <v>539.89135398506414</v>
      </c>
      <c r="F12" s="128">
        <f>Revenues!CK44</f>
        <v>451.56891560109671</v>
      </c>
      <c r="G12" s="128">
        <f>Revenues!CL44</f>
        <v>444.78170582046516</v>
      </c>
      <c r="H12" s="128">
        <f>Revenues!CM44</f>
        <v>423.69409484006519</v>
      </c>
      <c r="I12" s="51">
        <f>SUM(Table21112327[[#This Row],[2026]:[2032]])</f>
        <v>2793.4175364903354</v>
      </c>
      <c r="J12" s="55"/>
      <c r="K12" t="s">
        <v>8</v>
      </c>
      <c r="L12" s="164"/>
      <c r="M12" s="128">
        <f>IF(Dashboard!$C$3=2027,Dashboard!$C$26*Revenues!$N11*Dashboard!$E$26,0)</f>
        <v>0</v>
      </c>
      <c r="N12" s="128">
        <f>IF(Dashboard!$C$3=2027,Dashboard!$C$26*Revenues!$N11*(Dashboard!$E$26-(X$39-$W$39)*2/100)*(1+(Revenues!AV$8-Revenues!$AU$8)/Revenues!$AU$8),Dashboard!$C$26*Revenues!$N11*Dashboard!$E$26)</f>
        <v>208.63500000000002</v>
      </c>
      <c r="O12" s="128">
        <f>IF(Dashboard!$C$3=2027,Dashboard!$C$26*Revenues!$N11*(Dashboard!$E$26-(Y$39-$W$39)*2/100)*(1+(Revenues!AW$8-Revenues!$AU$8)/Revenues!$AU$8),Dashboard!$C$26*Revenues!$N11*(Dashboard!$E$26-(Y$39-$X$39)*2/100)*(1+(Revenues!AW$8-Revenues!$AV$8)/Revenues!$AV$8))</f>
        <v>243.83081739130438</v>
      </c>
      <c r="P12" s="128">
        <f>IF(Dashboard!$C$3=2027,Dashboard!$C$26*Revenues!$N11*(Dashboard!$E$26-(Z$39-$W$39)*2/100)*(1+(Revenues!AX$8-Revenues!$AU$8)/Revenues!$AU$8),Dashboard!$C$26*Revenues!$N11*(Dashboard!$E$26-(Z$39-$X$39)*2/100)*(1+(Revenues!AX$8-Revenues!$AV$8)/Revenues!$AV$8))</f>
        <v>279.57090000000005</v>
      </c>
      <c r="Q12" s="128">
        <f>IF(Dashboard!$C$3=2027,Dashboard!$C$26*Revenues!$N11*(Dashboard!$E$26-(AA$39-$W$39)*2/100)*(1+(Revenues!AY$8-Revenues!$AU$8)/Revenues!$AU$8),Dashboard!$C$26*Revenues!$N11*(Dashboard!$E$26-(AA$39-$X$39)*2/100)*(1+(Revenues!AY$8-Revenues!$AV$8)/Revenues!$AV$8))</f>
        <v>287.37203478260869</v>
      </c>
      <c r="R12" s="128">
        <f>IF(Dashboard!$C$3=2027,Dashboard!$C$26*Revenues!$N11*(Dashboard!$E$26-(AB$39-$W$39)*2/100)*(1+(Revenues!AZ$8-Revenues!$AU$8)/Revenues!$AU$8),Dashboard!$C$26*Revenues!$N11*(Dashboard!$E$26-(AB$39-$X$39)*2/100)*(1+(Revenues!AZ$8-Revenues!$AV$8)/Revenues!$AV$8))</f>
        <v>289.54909565217389</v>
      </c>
      <c r="S12" s="51">
        <f>SUM(Table211123[[#This Row],[2026]:[2032]])</f>
        <v>1308.9578478260871</v>
      </c>
      <c r="T12" s="55"/>
      <c r="U12" t="s">
        <v>8</v>
      </c>
      <c r="V12" s="132">
        <f>Dashboard!$C$28*Revenues!$N11*($AC$3+12*($AC$2-$AC$4))</f>
        <v>160.947</v>
      </c>
      <c r="W12" s="132">
        <f>Dashboard!$C$28*Revenues!$N11*($AC$3+12*($AC$2-$AC$4)*(1+W$3))</f>
        <v>232.47900000000001</v>
      </c>
      <c r="X12" s="69">
        <f>Dashboard!$C$28*Revenues!$N11*($AC$3+12*($AC$2-$AC$4)*(1+X$3))</f>
        <v>268.245</v>
      </c>
      <c r="Y12" s="69">
        <f>Dashboard!$C$28*Revenues!$N11*($AC$3+12*($AC$2-$AC$4)*(1+Y$3))</f>
        <v>268.245</v>
      </c>
      <c r="Z12" s="69">
        <f>Dashboard!$C$28*Revenues!$N11*($AC$3+12*($AC$2-$AC$4)*(1+Z$3))</f>
        <v>268.245</v>
      </c>
      <c r="AA12" s="69">
        <f>Dashboard!$C$28*Revenues!$N11*($AC$3+12*($AC$2-$AC$4)*(1+AA$3))</f>
        <v>268.245</v>
      </c>
      <c r="AB12" s="69">
        <f>Dashboard!$C$28*Revenues!$N11*($AC$3+12*($AC$2-$AC$4)*(1+AB$3))</f>
        <v>268.245</v>
      </c>
      <c r="AC12" s="51">
        <f>SUM(Table21112325[[#This Row],[2026]:[2032]])</f>
        <v>1734.6509999999998</v>
      </c>
      <c r="AD12" s="55"/>
      <c r="AE12" s="150" t="s">
        <v>8</v>
      </c>
      <c r="AF12" s="69">
        <f>Dashboard!$C$35*B46*(V46*Dashboard!$C$34)+Dashboard!$C$38*Dashboard!$C$36*B46*(V46*Dashboard!$C$34)</f>
        <v>26359601.837319598</v>
      </c>
      <c r="AG12" s="69">
        <f>Dashboard!$C$35*C46*(W46*Dashboard!$C$34)+Dashboard!$C$38*Dashboard!$C$36*C46*(W46*Dashboard!$C$34)+Dashboard!$C$38*B46*Dashboard!$C$36*14/15*(V46*Dashboard!$C$34)</f>
        <v>25067503.40287387</v>
      </c>
      <c r="AH12" s="69">
        <f>Dashboard!$C$35*D46*(X46*Dashboard!$C$34)+Dashboard!$C$38*Dashboard!$C$36*D46*(X46*Dashboard!$C$34)+Dashboard!$C$38*B46*Dashboard!$C$36*13/15*(V46*Dashboard!$C$34)+Dashboard!$C$38*C46*Dashboard!$C$36*14/15*(W46*Dashboard!$C$34)</f>
        <v>23901536.667777561</v>
      </c>
      <c r="AI12" s="69">
        <f>Dashboard!$C$35*E46*(Y46*Dashboard!$C$34)+Dashboard!$C$38*Dashboard!$C$36*E46*(Y46*Dashboard!$C$34)+Dashboard!$C$38*B46*Dashboard!$C$36*12/15*(V46*Dashboard!$C$34)+Dashboard!$C$38*C46*Dashboard!$C$36*13/15*(W46*Dashboard!$C$34)+Dashboard!$C$38*D46*Dashboard!$C$36*14/15*(X46*Dashboard!$C$34)</f>
        <v>23193364.484277159</v>
      </c>
      <c r="AJ12" s="69">
        <f>Dashboard!$C$35*F46*(Z46*Dashboard!$C$34)+Dashboard!$C$38*Dashboard!$C$36*F46*(Z46*Dashboard!$C$34)+Dashboard!$C$38*B46*Dashboard!$C$36*11/15*(V46*Dashboard!$C$34)+Dashboard!$C$38*C46*Dashboard!$C$36*12/15*(W46*Dashboard!$C$34)+Dashboard!$C$38*D46*Dashboard!$C$36*13/15*(X46*Dashboard!$C$34)+Dashboard!$C$38*E46*Dashboard!$C$36*14/15*(Y46*Dashboard!$C$34)</f>
        <v>22925970.326481674</v>
      </c>
      <c r="AK12" s="69">
        <f>Dashboard!$C$35*G46*(AA46*Dashboard!$C$34)+Dashboard!$C$38*Dashboard!$C$36*G46*(AA46*Dashboard!$C$34)+Dashboard!$C$38*B46*Dashboard!$C$36*10/15*(V46*Dashboard!$C$34)+Dashboard!$C$38*C46*Dashboard!$C$36*11/15*(W46*Dashboard!$C$34)+Dashboard!$C$38*D46*Dashboard!$C$36*12/15*(X46*Dashboard!$C$34)+Dashboard!$C$38*E46*Dashboard!$C$36*13/15*(Y46*Dashboard!$C$34)+Dashboard!$C$38*F46*Dashboard!$C$36*14/15*(Z46*Dashboard!$C$34)</f>
        <v>22640653.526814021</v>
      </c>
      <c r="AL12" s="69">
        <f>Dashboard!$C$35*H46*(AB46*Dashboard!$C$34)+Dashboard!$C$38*Dashboard!$C$36*H46*(AB46*Dashboard!$C$34)+Dashboard!$C$38*Dashboard!$C$36*B46*9/15*(V46*Dashboard!$C$34)+Dashboard!$C$38*C46*Dashboard!$C$36*10/15*(W46*Dashboard!$C$34)+Dashboard!$C$38*D46*Dashboard!$C$36*11/15*(X46*Dashboard!$C$34)+Dashboard!$C$38*E46*Dashboard!$C$36*12/15*(Y46*Dashboard!$C$34)+Dashboard!$C$38*F46*Dashboard!$C$36*13/15*(Z46*Dashboard!$C$34)+Dashboard!$C$38*G46*Dashboard!$C$36*14/15*(AA46*Dashboard!$C$34)</f>
        <v>22355019.764474627</v>
      </c>
      <c r="AO12" s="147"/>
      <c r="AP12" s="150" t="s">
        <v>8</v>
      </c>
      <c r="AQ12" s="258">
        <f>Tabelle8[[#This Row],[2026]]/1000000</f>
        <v>26.359601837319598</v>
      </c>
      <c r="AR12" s="258">
        <f>Tabelle8[[#This Row],[2027]]/1000000</f>
        <v>25.067503402873871</v>
      </c>
      <c r="AS12" s="258">
        <f>Tabelle8[[#This Row],[2028]]/1000000</f>
        <v>23.90153666777756</v>
      </c>
      <c r="AT12" s="258">
        <f>Tabelle8[[#This Row],[2029]]/1000000</f>
        <v>23.193364484277158</v>
      </c>
      <c r="AU12" s="258">
        <f>Tabelle8[[#This Row],[2030]]/1000000</f>
        <v>22.925970326481675</v>
      </c>
      <c r="AV12" s="258">
        <f>Tabelle8[[#This Row],[2031]]/1000000</f>
        <v>22.64065352681402</v>
      </c>
      <c r="AW12" s="258">
        <f>Tabelle8[[#This Row],[2032]]/1000000</f>
        <v>22.355019764474626</v>
      </c>
      <c r="AX12" s="69">
        <f>Tabelle8[[#This Row],[2033]]/1000000</f>
        <v>0</v>
      </c>
      <c r="AY12" s="69">
        <f>Tabelle8[[#This Row],[2034]]/1000000</f>
        <v>0</v>
      </c>
      <c r="AZ12" s="76">
        <f>Tabelle8[[#This Row],[2035]]/1000000</f>
        <v>0</v>
      </c>
      <c r="BA12" t="s">
        <v>8</v>
      </c>
      <c r="BB12" s="164">
        <f>Table211123[[#This Row],[2026]]/(Revenues!$N11*Dashboard!$E$26)</f>
        <v>0</v>
      </c>
      <c r="BC12" s="164">
        <f>Table211123[[#This Row],[2027]]/(Revenues!$N11*Dashboard!$E$26)</f>
        <v>0</v>
      </c>
      <c r="BD12" s="164">
        <f>Table211123[[#This Row],[2028]]/(Revenues!$N11*Dashboard!$E$26)</f>
        <v>70</v>
      </c>
      <c r="BE12" s="164">
        <f>Table211123[[#This Row],[2029]]/(Revenues!$N11*Dashboard!$E$26)</f>
        <v>81.808695652173924</v>
      </c>
      <c r="BF12" s="164">
        <f>Table211123[[#This Row],[2030]]/(Revenues!$N11*Dashboard!$E$26)</f>
        <v>93.800000000000011</v>
      </c>
      <c r="BG12" s="164">
        <f>Table211123[[#This Row],[2031]]/(Revenues!$N11*Dashboard!$E$26)</f>
        <v>96.417391304347817</v>
      </c>
      <c r="BH12" s="164">
        <f>Table211123[[#This Row],[2032]]/(Revenues!$N11*Dashboard!$E$26)</f>
        <v>97.147826086956513</v>
      </c>
      <c r="BI12" s="51">
        <f>SUM(Table21112321[[#This Row],[2026]:[2032]])</f>
        <v>439.17391304347825</v>
      </c>
      <c r="BJ12" s="55"/>
    </row>
    <row r="13" spans="1:62" x14ac:dyDescent="0.35">
      <c r="A13" t="s">
        <v>9</v>
      </c>
      <c r="B13" s="134">
        <f>Revenues!CG45</f>
        <v>57.483746089222414</v>
      </c>
      <c r="C13" s="69">
        <f>Revenues!CH45</f>
        <v>88.030412755889074</v>
      </c>
      <c r="D13" s="128">
        <f>Revenues!CI45</f>
        <v>108.72828188665261</v>
      </c>
      <c r="E13" s="128">
        <f>Revenues!CJ45</f>
        <v>135.21990067376208</v>
      </c>
      <c r="F13" s="128">
        <f>Revenues!CK45</f>
        <v>115.80375598103065</v>
      </c>
      <c r="G13" s="128">
        <f>Revenues!CL45</f>
        <v>113.79326276655023</v>
      </c>
      <c r="H13" s="128">
        <f>Revenues!CM45</f>
        <v>108.51591321792158</v>
      </c>
      <c r="I13" s="51">
        <f>SUM(Table21112327[[#This Row],[2026]:[2032]])</f>
        <v>727.57527337102863</v>
      </c>
      <c r="J13" s="55"/>
      <c r="K13" t="s">
        <v>9</v>
      </c>
      <c r="L13" s="164"/>
      <c r="M13" s="128">
        <f>IF(Dashboard!$C$3=2027,Dashboard!$C$26*Revenues!$N12*Dashboard!$E$26,0)</f>
        <v>0</v>
      </c>
      <c r="N13" s="128">
        <f>IF(Dashboard!$C$3=2027,Dashboard!$C$26*Revenues!$N12*(Dashboard!$E$26-(X$39-$W$39)*2/100)*(1+(Revenues!AV$8-Revenues!$AU$8)/Revenues!$AU$8),Dashboard!$C$26*Revenues!$N12*Dashboard!$E$26)</f>
        <v>48.125</v>
      </c>
      <c r="O13" s="128">
        <f>IF(Dashboard!$C$3=2027,Dashboard!$C$26*Revenues!$N12*(Dashboard!$E$26-(Y$39-$W$39)*2/100)*(1+(Revenues!AW$8-Revenues!$AU$8)/Revenues!$AU$8),Dashboard!$C$26*Revenues!$N12*(Dashboard!$E$26-(Y$39-$X$39)*2/100)*(1+(Revenues!AW$8-Revenues!$AV$8)/Revenues!$AV$8))</f>
        <v>56.243478260869566</v>
      </c>
      <c r="P13" s="128">
        <f>IF(Dashboard!$C$3=2027,Dashboard!$C$26*Revenues!$N12*(Dashboard!$E$26-(Z$39-$W$39)*2/100)*(1+(Revenues!AX$8-Revenues!$AU$8)/Revenues!$AU$8),Dashboard!$C$26*Revenues!$N12*(Dashboard!$E$26-(Z$39-$X$39)*2/100)*(1+(Revenues!AX$8-Revenues!$AV$8)/Revenues!$AV$8))</f>
        <v>64.487499999999997</v>
      </c>
      <c r="Q13" s="128">
        <f>IF(Dashboard!$C$3=2027,Dashboard!$C$26*Revenues!$N12*(Dashboard!$E$26-(AA$39-$W$39)*2/100)*(1+(Revenues!AY$8-Revenues!$AU$8)/Revenues!$AU$8),Dashboard!$C$26*Revenues!$N12*(Dashboard!$E$26-(AA$39-$X$39)*2/100)*(1+(Revenues!AY$8-Revenues!$AV$8)/Revenues!$AV$8))</f>
        <v>66.286956521739128</v>
      </c>
      <c r="R13" s="128">
        <f>IF(Dashboard!$C$3=2027,Dashboard!$C$26*Revenues!$N12*(Dashboard!$E$26-(AB$39-$W$39)*2/100)*(1+(Revenues!AZ$8-Revenues!$AU$8)/Revenues!$AU$8),Dashboard!$C$26*Revenues!$N12*(Dashboard!$E$26-(AB$39-$X$39)*2/100)*(1+(Revenues!AZ$8-Revenues!$AV$8)/Revenues!$AV$8))</f>
        <v>66.789130434782606</v>
      </c>
      <c r="S13" s="51">
        <f>SUM(Table211123[[#This Row],[2026]:[2032]])</f>
        <v>301.93206521739125</v>
      </c>
      <c r="T13" s="55"/>
      <c r="U13" t="s">
        <v>9</v>
      </c>
      <c r="V13" s="132">
        <f>Dashboard!$C$28*Revenues!$N12*($AC$3+12*($AC$2-$AC$4))</f>
        <v>37.125</v>
      </c>
      <c r="W13" s="132">
        <f>Dashboard!$C$28*Revenues!$N12*($AC$3+12*($AC$2-$AC$4)*(1+W$3))</f>
        <v>53.625</v>
      </c>
      <c r="X13" s="69">
        <f>Dashboard!$C$28*Revenues!$N12*($AC$3+12*($AC$2-$AC$4)*(1+X$3))</f>
        <v>61.875</v>
      </c>
      <c r="Y13" s="69">
        <f>Dashboard!$C$28*Revenues!$N12*($AC$3+12*($AC$2-$AC$4)*(1+Y$3))</f>
        <v>61.875</v>
      </c>
      <c r="Z13" s="69">
        <f>Dashboard!$C$28*Revenues!$N12*($AC$3+12*($AC$2-$AC$4)*(1+Z$3))</f>
        <v>61.875</v>
      </c>
      <c r="AA13" s="69">
        <f>Dashboard!$C$28*Revenues!$N12*($AC$3+12*($AC$2-$AC$4)*(1+AA$3))</f>
        <v>61.875</v>
      </c>
      <c r="AB13" s="69">
        <f>Dashboard!$C$28*Revenues!$N12*($AC$3+12*($AC$2-$AC$4)*(1+AB$3))</f>
        <v>61.875</v>
      </c>
      <c r="AC13" s="51">
        <f>SUM(Table21112325[[#This Row],[2026]:[2032]])</f>
        <v>400.125</v>
      </c>
      <c r="AD13" s="55"/>
      <c r="AE13" s="150" t="s">
        <v>9</v>
      </c>
      <c r="AF13" s="69">
        <f>Dashboard!$C$35*B47*(V47*Dashboard!$C$34)+Dashboard!$C$38*Dashboard!$C$36*B47*(V47*Dashboard!$C$34)</f>
        <v>4593870.3017408671</v>
      </c>
      <c r="AG13" s="69">
        <f>Dashboard!$C$35*C47*(W47*Dashboard!$C$34)+Dashboard!$C$38*Dashboard!$C$36*C47*(W47*Dashboard!$C$34)+Dashboard!$C$38*B47*Dashboard!$C$36*14/15*(V47*Dashboard!$C$34)</f>
        <v>4368687.3622731585</v>
      </c>
      <c r="AH13" s="69">
        <f>Dashboard!$C$35*D47*(X47*Dashboard!$C$34)+Dashboard!$C$38*Dashboard!$C$36*D47*(X47*Dashboard!$C$34)+Dashboard!$C$38*B47*Dashboard!$C$36*13/15*(V47*Dashboard!$C$34)+Dashboard!$C$38*C47*Dashboard!$C$36*14/15*(W47*Dashboard!$C$34)</f>
        <v>4165486.2672705282</v>
      </c>
      <c r="AI13" s="69">
        <f>Dashboard!$C$35*E47*(Y47*Dashboard!$C$34)+Dashboard!$C$38*Dashboard!$C$36*E47*(Y47*Dashboard!$C$34)+Dashboard!$C$38*B47*Dashboard!$C$36*12/15*(V47*Dashboard!$C$34)+Dashboard!$C$38*C47*Dashboard!$C$36*13/15*(W47*Dashboard!$C$34)+Dashboard!$C$38*D47*Dashboard!$C$36*14/15*(X47*Dashboard!$C$34)</f>
        <v>4042068.1981214108</v>
      </c>
      <c r="AJ13" s="69">
        <f>Dashboard!$C$35*F47*(Z47*Dashboard!$C$34)+Dashboard!$C$38*Dashboard!$C$36*F47*(Z47*Dashboard!$C$34)+Dashboard!$C$38*B47*Dashboard!$C$36*11/15*(V47*Dashboard!$C$34)+Dashboard!$C$38*C47*Dashboard!$C$36*12/15*(W47*Dashboard!$C$34)+Dashboard!$C$38*D47*Dashboard!$C$36*13/15*(X47*Dashboard!$C$34)+Dashboard!$C$38*E47*Dashboard!$C$36*14/15*(Y47*Dashboard!$C$34)</f>
        <v>3995467.5670520682</v>
      </c>
      <c r="AK13" s="69">
        <f>Dashboard!$C$35*G47*(AA47*Dashboard!$C$34)+Dashboard!$C$38*Dashboard!$C$36*G47*(AA47*Dashboard!$C$34)+Dashboard!$C$38*B47*Dashboard!$C$36*10/15*(V47*Dashboard!$C$34)+Dashboard!$C$38*C47*Dashboard!$C$36*11/15*(W47*Dashboard!$C$34)+Dashboard!$C$38*D47*Dashboard!$C$36*12/15*(X47*Dashboard!$C$34)+Dashboard!$C$38*E47*Dashboard!$C$36*13/15*(Y47*Dashboard!$C$34)+Dashboard!$C$38*F47*Dashboard!$C$36*14/15*(Z47*Dashboard!$C$34)</f>
        <v>3945743.4331038357</v>
      </c>
      <c r="AL13" s="69">
        <f>Dashboard!$C$35*H47*(AB47*Dashboard!$C$34)+Dashboard!$C$38*Dashboard!$C$36*H47*(AB47*Dashboard!$C$34)+Dashboard!$C$38*Dashboard!$C$36*B47*9/15*(V47*Dashboard!$C$34)+Dashboard!$C$38*C47*Dashboard!$C$36*10/15*(W47*Dashboard!$C$34)+Dashboard!$C$38*D47*Dashboard!$C$36*11/15*(X47*Dashboard!$C$34)+Dashboard!$C$38*E47*Dashboard!$C$36*12/15*(Y47*Dashboard!$C$34)+Dashboard!$C$38*F47*Dashboard!$C$36*13/15*(Z47*Dashboard!$C$34)+Dashboard!$C$38*G47*Dashboard!$C$36*14/15*(AA47*Dashboard!$C$34)</f>
        <v>3895964.0598764406</v>
      </c>
      <c r="AO13" s="147"/>
      <c r="AP13" s="150" t="s">
        <v>9</v>
      </c>
      <c r="AQ13" s="258">
        <f>Tabelle8[[#This Row],[2026]]/1000000</f>
        <v>4.5938703017408669</v>
      </c>
      <c r="AR13" s="258">
        <f>Tabelle8[[#This Row],[2027]]/1000000</f>
        <v>4.3686873622731586</v>
      </c>
      <c r="AS13" s="258">
        <f>Tabelle8[[#This Row],[2028]]/1000000</f>
        <v>4.165486267270528</v>
      </c>
      <c r="AT13" s="258">
        <f>Tabelle8[[#This Row],[2029]]/1000000</f>
        <v>4.0420681981214104</v>
      </c>
      <c r="AU13" s="258">
        <f>Tabelle8[[#This Row],[2030]]/1000000</f>
        <v>3.9954675670520681</v>
      </c>
      <c r="AV13" s="258">
        <f>Tabelle8[[#This Row],[2031]]/1000000</f>
        <v>3.9457434331038357</v>
      </c>
      <c r="AW13" s="258">
        <f>Tabelle8[[#This Row],[2032]]/1000000</f>
        <v>3.8959640598764405</v>
      </c>
      <c r="AX13" s="69">
        <f>Tabelle8[[#This Row],[2033]]/1000000</f>
        <v>0</v>
      </c>
      <c r="AY13" s="69">
        <f>Tabelle8[[#This Row],[2034]]/1000000</f>
        <v>0</v>
      </c>
      <c r="AZ13" s="76">
        <f>Tabelle8[[#This Row],[2035]]/1000000</f>
        <v>0</v>
      </c>
      <c r="BA13" t="s">
        <v>9</v>
      </c>
      <c r="BB13" s="164">
        <f>Table211123[[#This Row],[2026]]/(Revenues!$N12*Dashboard!$E$26)</f>
        <v>0</v>
      </c>
      <c r="BC13" s="164">
        <f>Table211123[[#This Row],[2027]]/(Revenues!$N12*Dashboard!$E$26)</f>
        <v>0</v>
      </c>
      <c r="BD13" s="164">
        <f>Table211123[[#This Row],[2028]]/(Revenues!$N12*Dashboard!$E$26)</f>
        <v>70</v>
      </c>
      <c r="BE13" s="164">
        <f>Table211123[[#This Row],[2029]]/(Revenues!$N12*Dashboard!$E$26)</f>
        <v>81.80869565217391</v>
      </c>
      <c r="BF13" s="164">
        <f>Table211123[[#This Row],[2030]]/(Revenues!$N12*Dashboard!$E$26)</f>
        <v>93.8</v>
      </c>
      <c r="BG13" s="164">
        <f>Table211123[[#This Row],[2031]]/(Revenues!$N12*Dashboard!$E$26)</f>
        <v>96.417391304347817</v>
      </c>
      <c r="BH13" s="164">
        <f>Table211123[[#This Row],[2032]]/(Revenues!$N12*Dashboard!$E$26)</f>
        <v>97.147826086956513</v>
      </c>
      <c r="BI13" s="51">
        <f>SUM(Table21112321[[#This Row],[2026]:[2032]])</f>
        <v>439.17391304347825</v>
      </c>
      <c r="BJ13" s="55"/>
    </row>
    <row r="14" spans="1:62" x14ac:dyDescent="0.35">
      <c r="A14" t="s">
        <v>10</v>
      </c>
      <c r="B14" s="134">
        <f>Revenues!CG46</f>
        <v>245.08159478569718</v>
      </c>
      <c r="C14" s="69">
        <f>Revenues!CH46</f>
        <v>338.82826145236385</v>
      </c>
      <c r="D14" s="128">
        <f>Revenues!CI46</f>
        <v>450.82839048307403</v>
      </c>
      <c r="E14" s="128">
        <f>Revenues!CJ46</f>
        <v>572.64348374173426</v>
      </c>
      <c r="F14" s="128">
        <f>Revenues!CK46</f>
        <v>484.86733115700974</v>
      </c>
      <c r="G14" s="128">
        <f>Revenues!CL46</f>
        <v>476.990425492702</v>
      </c>
      <c r="H14" s="128">
        <f>Revenues!CM46</f>
        <v>454.63272427493916</v>
      </c>
      <c r="I14" s="51">
        <f>SUM(Table21112327[[#This Row],[2026]:[2032]])</f>
        <v>3023.8722113875201</v>
      </c>
      <c r="J14" s="55"/>
      <c r="K14" t="s">
        <v>10</v>
      </c>
      <c r="L14" s="164"/>
      <c r="M14" s="128">
        <f>IF(Dashboard!$C$3=2027,Dashboard!$C$26*Revenues!$N13*Dashboard!$E$26,0)</f>
        <v>0</v>
      </c>
      <c r="N14" s="128">
        <f>IF(Dashboard!$C$3=2027,Dashboard!$C$26*Revenues!$N13*(Dashboard!$E$26-(X$39-$W$39)*2/100)*(1+(Revenues!AV$8-Revenues!$AU$8)/Revenues!$AU$8),Dashboard!$C$26*Revenues!$N13*Dashboard!$E$26)</f>
        <v>196.14000000000001</v>
      </c>
      <c r="O14" s="128">
        <f>IF(Dashboard!$C$3=2027,Dashboard!$C$26*Revenues!$N13*(Dashboard!$E$26-(Y$39-$W$39)*2/100)*(1+(Revenues!AW$8-Revenues!$AU$8)/Revenues!$AU$8),Dashboard!$C$26*Revenues!$N13*(Dashboard!$E$26-(Y$39-$X$39)*2/100)*(1+(Revenues!AW$8-Revenues!$AV$8)/Revenues!$AV$8))</f>
        <v>229.2279652173913</v>
      </c>
      <c r="P14" s="128">
        <f>IF(Dashboard!$C$3=2027,Dashboard!$C$26*Revenues!$N13*(Dashboard!$E$26-(Z$39-$W$39)*2/100)*(1+(Revenues!AX$8-Revenues!$AU$8)/Revenues!$AU$8),Dashboard!$C$26*Revenues!$N13*(Dashboard!$E$26-(Z$39-$X$39)*2/100)*(1+(Revenues!AX$8-Revenues!$AV$8)/Revenues!$AV$8))</f>
        <v>262.82760000000007</v>
      </c>
      <c r="Q14" s="128">
        <f>IF(Dashboard!$C$3=2027,Dashboard!$C$26*Revenues!$N13*(Dashboard!$E$26-(AA$39-$W$39)*2/100)*(1+(Revenues!AY$8-Revenues!$AU$8)/Revenues!$AU$8),Dashboard!$C$26*Revenues!$N13*(Dashboard!$E$26-(AA$39-$X$39)*2/100)*(1+(Revenues!AY$8-Revenues!$AV$8)/Revenues!$AV$8))</f>
        <v>270.16153043478261</v>
      </c>
      <c r="R14" s="128">
        <f>IF(Dashboard!$C$3=2027,Dashboard!$C$26*Revenues!$N13*(Dashboard!$E$26-(AB$39-$W$39)*2/100)*(1+(Revenues!AZ$8-Revenues!$AU$8)/Revenues!$AU$8),Dashboard!$C$26*Revenues!$N13*(Dashboard!$E$26-(AB$39-$X$39)*2/100)*(1+(Revenues!AZ$8-Revenues!$AV$8)/Revenues!$AV$8))</f>
        <v>272.20820869565216</v>
      </c>
      <c r="S14" s="51">
        <f>SUM(Table211123[[#This Row],[2026]:[2032]])</f>
        <v>1230.565304347826</v>
      </c>
      <c r="T14" s="55"/>
      <c r="U14" t="s">
        <v>10</v>
      </c>
      <c r="V14" s="132">
        <f>Dashboard!$C$28*Revenues!$N13*($AC$3+12*($AC$2-$AC$4))</f>
        <v>151.30799999999999</v>
      </c>
      <c r="W14" s="132">
        <f>Dashboard!$C$28*Revenues!$N13*($AC$3+12*($AC$2-$AC$4)*(1+W$3))</f>
        <v>218.55600000000001</v>
      </c>
      <c r="X14" s="69">
        <f>Dashboard!$C$28*Revenues!$N13*($AC$3+12*($AC$2-$AC$4)*(1+X$3))</f>
        <v>252.18</v>
      </c>
      <c r="Y14" s="69">
        <f>Dashboard!$C$28*Revenues!$N13*($AC$3+12*($AC$2-$AC$4)*(1+Y$3))</f>
        <v>252.18</v>
      </c>
      <c r="Z14" s="69">
        <f>Dashboard!$C$28*Revenues!$N13*($AC$3+12*($AC$2-$AC$4)*(1+Z$3))</f>
        <v>252.18</v>
      </c>
      <c r="AA14" s="69">
        <f>Dashboard!$C$28*Revenues!$N13*($AC$3+12*($AC$2-$AC$4)*(1+AA$3))</f>
        <v>252.18</v>
      </c>
      <c r="AB14" s="69">
        <f>Dashboard!$C$28*Revenues!$N13*($AC$3+12*($AC$2-$AC$4)*(1+AB$3))</f>
        <v>252.18</v>
      </c>
      <c r="AC14" s="51">
        <f>SUM(Table21112325[[#This Row],[2026]:[2032]])</f>
        <v>1630.7640000000004</v>
      </c>
      <c r="AD14" s="55"/>
      <c r="AE14" s="150" t="s">
        <v>10</v>
      </c>
      <c r="AF14" s="69">
        <f>Dashboard!$C$35*B48*(V48*Dashboard!$C$34)+Dashboard!$C$38*Dashboard!$C$36*B48*(V48*Dashboard!$C$34)</f>
        <v>24838855.577474229</v>
      </c>
      <c r="AG14" s="69">
        <f>Dashboard!$C$35*C48*(W48*Dashboard!$C$34)+Dashboard!$C$38*Dashboard!$C$36*C48*(W48*Dashboard!$C$34)+Dashboard!$C$38*B48*Dashboard!$C$36*14/15*(V48*Dashboard!$C$34)</f>
        <v>23621301.283477303</v>
      </c>
      <c r="AH14" s="69">
        <f>Dashboard!$C$35*D48*(X48*Dashboard!$C$34)+Dashboard!$C$38*Dashboard!$C$36*D48*(X48*Dashboard!$C$34)+Dashboard!$C$38*B48*Dashboard!$C$36*13/15*(V48*Dashboard!$C$34)+Dashboard!$C$38*C48*Dashboard!$C$36*14/15*(W48*Dashboard!$C$34)</f>
        <v>22522601.860021167</v>
      </c>
      <c r="AI14" s="69">
        <f>Dashboard!$C$35*E48*(Y48*Dashboard!$C$34)+Dashboard!$C$38*Dashboard!$C$36*E48*(Y48*Dashboard!$C$34)+Dashboard!$C$38*B48*Dashboard!$C$36*12/15*(V48*Dashboard!$C$34)+Dashboard!$C$38*C48*Dashboard!$C$36*13/15*(W48*Dashboard!$C$34)+Dashboard!$C$38*D48*Dashboard!$C$36*14/15*(X48*Dashboard!$C$34)</f>
        <v>21855285.764030393</v>
      </c>
      <c r="AJ14" s="69">
        <f>Dashboard!$C$35*F48*(Z48*Dashboard!$C$34)+Dashboard!$C$38*Dashboard!$C$36*F48*(Z48*Dashboard!$C$34)+Dashboard!$C$38*B48*Dashboard!$C$36*11/15*(V48*Dashboard!$C$34)+Dashboard!$C$38*C48*Dashboard!$C$36*12/15*(W48*Dashboard!$C$34)+Dashboard!$C$38*D48*Dashboard!$C$36*13/15*(X48*Dashboard!$C$34)+Dashboard!$C$38*E48*Dashboard!$C$36*14/15*(Y48*Dashboard!$C$34)</f>
        <v>21603318.192261569</v>
      </c>
      <c r="AK14" s="69">
        <f>Dashboard!$C$35*G48*(AA48*Dashboard!$C$34)+Dashboard!$C$38*Dashboard!$C$36*G48*(AA48*Dashboard!$C$34)+Dashboard!$C$38*B48*Dashboard!$C$36*10/15*(V48*Dashboard!$C$34)+Dashboard!$C$38*C48*Dashboard!$C$36*11/15*(W48*Dashboard!$C$34)+Dashboard!$C$38*D48*Dashboard!$C$36*12/15*(X48*Dashboard!$C$34)+Dashboard!$C$38*E48*Dashboard!$C$36*13/15*(Y48*Dashboard!$C$34)+Dashboard!$C$38*F48*Dashboard!$C$36*14/15*(Z48*Dashboard!$C$34)</f>
        <v>21334461.977190137</v>
      </c>
      <c r="AL14" s="69">
        <f>Dashboard!$C$35*H48*(AB48*Dashboard!$C$34)+Dashboard!$C$38*Dashboard!$C$36*H48*(AB48*Dashboard!$C$34)+Dashboard!$C$38*Dashboard!$C$36*B48*9/15*(V48*Dashboard!$C$34)+Dashboard!$C$38*C48*Dashboard!$C$36*10/15*(W48*Dashboard!$C$34)+Dashboard!$C$38*D48*Dashboard!$C$36*11/15*(X48*Dashboard!$C$34)+Dashboard!$C$38*E48*Dashboard!$C$36*12/15*(Y48*Dashboard!$C$34)+Dashboard!$C$38*F48*Dashboard!$C$36*13/15*(Z48*Dashboard!$C$34)+Dashboard!$C$38*G48*Dashboard!$C$36*14/15*(AA48*Dashboard!$C$34)</f>
        <v>21065307.085754938</v>
      </c>
      <c r="AO14" s="147"/>
      <c r="AP14" s="150" t="s">
        <v>10</v>
      </c>
      <c r="AQ14" s="258">
        <f>Tabelle8[[#This Row],[2026]]/1000000</f>
        <v>24.838855577474231</v>
      </c>
      <c r="AR14" s="258">
        <f>Tabelle8[[#This Row],[2027]]/1000000</f>
        <v>23.621301283477301</v>
      </c>
      <c r="AS14" s="258">
        <f>Tabelle8[[#This Row],[2028]]/1000000</f>
        <v>22.522601860021165</v>
      </c>
      <c r="AT14" s="258">
        <f>Tabelle8[[#This Row],[2029]]/1000000</f>
        <v>21.855285764030395</v>
      </c>
      <c r="AU14" s="258">
        <f>Tabelle8[[#This Row],[2030]]/1000000</f>
        <v>21.603318192261568</v>
      </c>
      <c r="AV14" s="258">
        <f>Tabelle8[[#This Row],[2031]]/1000000</f>
        <v>21.334461977190138</v>
      </c>
      <c r="AW14" s="258">
        <f>Tabelle8[[#This Row],[2032]]/1000000</f>
        <v>21.065307085754938</v>
      </c>
      <c r="AX14" s="69">
        <f>Tabelle8[[#This Row],[2033]]/1000000</f>
        <v>0</v>
      </c>
      <c r="AY14" s="69">
        <f>Tabelle8[[#This Row],[2034]]/1000000</f>
        <v>0</v>
      </c>
      <c r="AZ14" s="76">
        <f>Tabelle8[[#This Row],[2035]]/1000000</f>
        <v>0</v>
      </c>
      <c r="BA14" t="s">
        <v>10</v>
      </c>
      <c r="BB14" s="164">
        <f>Table211123[[#This Row],[2026]]/(Revenues!$N13*Dashboard!$E$26)</f>
        <v>0</v>
      </c>
      <c r="BC14" s="164">
        <f>Table211123[[#This Row],[2027]]/(Revenues!$N13*Dashboard!$E$26)</f>
        <v>0</v>
      </c>
      <c r="BD14" s="164">
        <f>Table211123[[#This Row],[2028]]/(Revenues!$N13*Dashboard!$E$26)</f>
        <v>70</v>
      </c>
      <c r="BE14" s="164">
        <f>Table211123[[#This Row],[2029]]/(Revenues!$N13*Dashboard!$E$26)</f>
        <v>81.80869565217391</v>
      </c>
      <c r="BF14" s="164">
        <f>Table211123[[#This Row],[2030]]/(Revenues!$N13*Dashboard!$E$26)</f>
        <v>93.800000000000026</v>
      </c>
      <c r="BG14" s="164">
        <f>Table211123[[#This Row],[2031]]/(Revenues!$N13*Dashboard!$E$26)</f>
        <v>96.417391304347817</v>
      </c>
      <c r="BH14" s="164">
        <f>Table211123[[#This Row],[2032]]/(Revenues!$N13*Dashboard!$E$26)</f>
        <v>97.147826086956513</v>
      </c>
      <c r="BI14" s="51">
        <f>SUM(Table21112321[[#This Row],[2026]:[2032]])</f>
        <v>439.17391304347825</v>
      </c>
      <c r="BJ14" s="55"/>
    </row>
    <row r="15" spans="1:62" x14ac:dyDescent="0.35">
      <c r="A15" t="s">
        <v>11</v>
      </c>
      <c r="B15" s="134">
        <f>Revenues!CG47</f>
        <v>3231.2374439988944</v>
      </c>
      <c r="C15" s="69">
        <f>Revenues!CH47</f>
        <v>4409.9174439988947</v>
      </c>
      <c r="D15" s="128">
        <f>Revenues!CI47</f>
        <v>5923.8725506539158</v>
      </c>
      <c r="E15" s="128">
        <f>Revenues!CJ47</f>
        <v>7543.8512974512378</v>
      </c>
      <c r="F15" s="128">
        <f>Revenues!CK47</f>
        <v>6378.7355329103329</v>
      </c>
      <c r="G15" s="128">
        <f>Revenues!CL47</f>
        <v>6275.9750267498057</v>
      </c>
      <c r="H15" s="128">
        <f>Revenues!CM47</f>
        <v>5981.4270440661785</v>
      </c>
      <c r="I15" s="51">
        <f>SUM(Table21112327[[#This Row],[2026]:[2032]])</f>
        <v>39745.016339829264</v>
      </c>
      <c r="J15" s="55"/>
      <c r="K15" t="s">
        <v>11</v>
      </c>
      <c r="L15" s="164"/>
      <c r="M15" s="128">
        <f>IF(Dashboard!$C$3=2027,Dashboard!$C$26*Revenues!$N14*Dashboard!$E$26,0)</f>
        <v>0</v>
      </c>
      <c r="N15" s="128">
        <f>IF(Dashboard!$C$3=2027,Dashboard!$C$26*Revenues!$N14*(Dashboard!$E$26-(X$39-$W$39)*2/100)*(1+(Revenues!AV$8-Revenues!$AU$8)/Revenues!$AU$8),Dashboard!$C$26*Revenues!$N14*Dashboard!$E$26)</f>
        <v>2396.3449999999998</v>
      </c>
      <c r="O15" s="128">
        <f>IF(Dashboard!$C$3=2027,Dashboard!$C$26*Revenues!$N14*(Dashboard!$E$26-(Y$39-$W$39)*2/100)*(1+(Revenues!AW$8-Revenues!$AU$8)/Revenues!$AU$8),Dashboard!$C$26*Revenues!$N14*(Dashboard!$E$26-(Y$39-$X$39)*2/100)*(1+(Revenues!AW$8-Revenues!$AV$8)/Revenues!$AV$8))</f>
        <v>2800.5979826086959</v>
      </c>
      <c r="P15" s="128">
        <f>IF(Dashboard!$C$3=2027,Dashboard!$C$26*Revenues!$N14*(Dashboard!$E$26-(Z$39-$W$39)*2/100)*(1+(Revenues!AX$8-Revenues!$AU$8)/Revenues!$AU$8),Dashboard!$C$26*Revenues!$N14*(Dashboard!$E$26-(Z$39-$X$39)*2/100)*(1+(Revenues!AX$8-Revenues!$AV$8)/Revenues!$AV$8))</f>
        <v>3211.1023</v>
      </c>
      <c r="Q15" s="128">
        <f>IF(Dashboard!$C$3=2027,Dashboard!$C$26*Revenues!$N14*(Dashboard!$E$26-(AA$39-$W$39)*2/100)*(1+(Revenues!AY$8-Revenues!$AU$8)/Revenues!$AU$8),Dashboard!$C$26*Revenues!$N14*(Dashboard!$E$26-(AA$39-$X$39)*2/100)*(1+(Revenues!AY$8-Revenues!$AV$8)/Revenues!$AV$8))</f>
        <v>3300.7047652173906</v>
      </c>
      <c r="R15" s="128">
        <f>IF(Dashboard!$C$3=2027,Dashboard!$C$26*Revenues!$N14*(Dashboard!$E$26-(AB$39-$W$39)*2/100)*(1+(Revenues!AZ$8-Revenues!$AU$8)/Revenues!$AU$8),Dashboard!$C$26*Revenues!$N14*(Dashboard!$E$26-(AB$39-$X$39)*2/100)*(1+(Revenues!AZ$8-Revenues!$AV$8)/Revenues!$AV$8))</f>
        <v>3325.7101043478256</v>
      </c>
      <c r="S15" s="51">
        <f>SUM(Table211123[[#This Row],[2026]:[2032]])</f>
        <v>15034.460152173913</v>
      </c>
      <c r="T15" s="55"/>
      <c r="U15" t="s">
        <v>11</v>
      </c>
      <c r="V15" s="132">
        <f>Dashboard!$C$28*Revenues!$N14*($AC$3+12*($AC$2-$AC$4))</f>
        <v>1848.6089999999999</v>
      </c>
      <c r="W15" s="132">
        <f>Dashboard!$C$28*Revenues!$N14*($AC$3+12*($AC$2-$AC$4)*(1+W$3))</f>
        <v>2670.2130000000002</v>
      </c>
      <c r="X15" s="69">
        <f>Dashboard!$C$28*Revenues!$N14*($AC$3+12*($AC$2-$AC$4)*(1+X$3))</f>
        <v>3081.0149999999999</v>
      </c>
      <c r="Y15" s="69">
        <f>Dashboard!$C$28*Revenues!$N14*($AC$3+12*($AC$2-$AC$4)*(1+Y$3))</f>
        <v>3081.0149999999999</v>
      </c>
      <c r="Z15" s="69">
        <f>Dashboard!$C$28*Revenues!$N14*($AC$3+12*($AC$2-$AC$4)*(1+Z$3))</f>
        <v>3081.0149999999999</v>
      </c>
      <c r="AA15" s="69">
        <f>Dashboard!$C$28*Revenues!$N14*($AC$3+12*($AC$2-$AC$4)*(1+AA$3))</f>
        <v>3081.0149999999999</v>
      </c>
      <c r="AB15" s="69">
        <f>Dashboard!$C$28*Revenues!$N14*($AC$3+12*($AC$2-$AC$4)*(1+AB$3))</f>
        <v>3081.0149999999999</v>
      </c>
      <c r="AC15" s="51">
        <f>SUM(Table21112325[[#This Row],[2026]:[2032]])</f>
        <v>19923.896999999997</v>
      </c>
      <c r="AD15" s="55"/>
      <c r="AE15" s="150" t="s">
        <v>11</v>
      </c>
      <c r="AF15" s="69">
        <f>Dashboard!$C$35*B49*(V49*Dashboard!$C$34)+Dashboard!$C$38*Dashboard!$C$36*B49*(V49*Dashboard!$C$34)</f>
        <v>334859130.80720001</v>
      </c>
      <c r="AG15" s="69">
        <f>Dashboard!$C$35*C49*(W49*Dashboard!$C$34)+Dashboard!$C$38*Dashboard!$C$36*C49*(W49*Dashboard!$C$34)+Dashboard!$C$38*B49*Dashboard!$C$36*14/15*(V49*Dashboard!$C$34)</f>
        <v>323705838.84446555</v>
      </c>
      <c r="AH15" s="69">
        <f>Dashboard!$C$35*D49*(X49*Dashboard!$C$34)+Dashboard!$C$38*Dashboard!$C$36*D49*(X49*Dashboard!$C$34)+Dashboard!$C$38*B49*Dashboard!$C$36*13/15*(V49*Dashboard!$C$34)+Dashboard!$C$38*C49*Dashboard!$C$36*14/15*(W49*Dashboard!$C$34)</f>
        <v>311322887.51068759</v>
      </c>
      <c r="AI15" s="69">
        <f>Dashboard!$C$35*E49*(Y49*Dashboard!$C$34)+Dashboard!$C$38*Dashboard!$C$36*E49*(Y49*Dashboard!$C$34)+Dashboard!$C$38*B49*Dashboard!$C$36*12/15*(V49*Dashboard!$C$34)+Dashboard!$C$38*C49*Dashboard!$C$36*13/15*(W49*Dashboard!$C$34)+Dashboard!$C$38*D49*Dashboard!$C$36*14/15*(X49*Dashboard!$C$34)</f>
        <v>309215400.87667465</v>
      </c>
      <c r="AJ15" s="69">
        <f>Dashboard!$C$35*F49*(Z49*Dashboard!$C$34)+Dashboard!$C$38*Dashboard!$C$36*F49*(Z49*Dashboard!$C$34)+Dashboard!$C$38*B49*Dashboard!$C$36*11/15*(V49*Dashboard!$C$34)+Dashboard!$C$38*C49*Dashboard!$C$36*12/15*(W49*Dashboard!$C$34)+Dashboard!$C$38*D49*Dashboard!$C$36*13/15*(X49*Dashboard!$C$34)+Dashboard!$C$38*E49*Dashboard!$C$36*14/15*(Y49*Dashboard!$C$34)</f>
        <v>306816452.01456428</v>
      </c>
      <c r="AK15" s="69">
        <f>Dashboard!$C$35*G49*(AA49*Dashboard!$C$34)+Dashboard!$C$38*Dashboard!$C$36*G49*(AA49*Dashboard!$C$34)+Dashboard!$C$38*B49*Dashboard!$C$36*10/15*(V49*Dashboard!$C$34)+Dashboard!$C$38*C49*Dashboard!$C$36*11/15*(W49*Dashboard!$C$34)+Dashboard!$C$38*D49*Dashboard!$C$36*12/15*(X49*Dashboard!$C$34)+Dashboard!$C$38*E49*Dashboard!$C$36*13/15*(Y49*Dashboard!$C$34)+Dashboard!$C$38*F49*Dashboard!$C$36*14/15*(Z49*Dashboard!$C$34)</f>
        <v>300851687.37035614</v>
      </c>
      <c r="AL15" s="69">
        <f>Dashboard!$C$35*H49*(AB49*Dashboard!$C$34)+Dashboard!$C$38*Dashboard!$C$36*H49*(AB49*Dashboard!$C$34)+Dashboard!$C$38*Dashboard!$C$36*B49*9/15*(V49*Dashboard!$C$34)+Dashboard!$C$38*C49*Dashboard!$C$36*10/15*(W49*Dashboard!$C$34)+Dashboard!$C$38*D49*Dashboard!$C$36*11/15*(X49*Dashboard!$C$34)+Dashboard!$C$38*E49*Dashboard!$C$36*12/15*(Y49*Dashboard!$C$34)+Dashboard!$C$38*F49*Dashboard!$C$36*13/15*(Z49*Dashboard!$C$34)+Dashboard!$C$38*G49*Dashboard!$C$36*14/15*(AA49*Dashboard!$C$34)</f>
        <v>294584175.18572116</v>
      </c>
      <c r="AO15" s="147"/>
      <c r="AP15" s="150" t="s">
        <v>11</v>
      </c>
      <c r="AQ15" s="258">
        <f>Tabelle8[[#This Row],[2026]]/1000000</f>
        <v>334.85913080720002</v>
      </c>
      <c r="AR15" s="258">
        <f>Tabelle8[[#This Row],[2027]]/1000000</f>
        <v>323.70583884446557</v>
      </c>
      <c r="AS15" s="258">
        <f>Tabelle8[[#This Row],[2028]]/1000000</f>
        <v>311.32288751068756</v>
      </c>
      <c r="AT15" s="258">
        <f>Tabelle8[[#This Row],[2029]]/1000000</f>
        <v>309.21540087667466</v>
      </c>
      <c r="AU15" s="258">
        <f>Tabelle8[[#This Row],[2030]]/1000000</f>
        <v>306.81645201456428</v>
      </c>
      <c r="AV15" s="258">
        <f>Tabelle8[[#This Row],[2031]]/1000000</f>
        <v>300.85168737035616</v>
      </c>
      <c r="AW15" s="258">
        <f>Tabelle8[[#This Row],[2032]]/1000000</f>
        <v>294.58417518572116</v>
      </c>
      <c r="AX15" s="69">
        <f>Tabelle8[[#This Row],[2033]]/1000000</f>
        <v>0</v>
      </c>
      <c r="AY15" s="69">
        <f>Tabelle8[[#This Row],[2034]]/1000000</f>
        <v>0</v>
      </c>
      <c r="AZ15" s="76">
        <f>Tabelle8[[#This Row],[2035]]/1000000</f>
        <v>0</v>
      </c>
      <c r="BA15" t="s">
        <v>11</v>
      </c>
      <c r="BB15" s="164">
        <f>Table211123[[#This Row],[2026]]/(Revenues!$N14*Dashboard!$E$26)</f>
        <v>0</v>
      </c>
      <c r="BC15" s="164">
        <f>Table211123[[#This Row],[2027]]/(Revenues!$N14*Dashboard!$E$26)</f>
        <v>0</v>
      </c>
      <c r="BD15" s="164">
        <f>Table211123[[#This Row],[2028]]/(Revenues!$N14*Dashboard!$E$26)</f>
        <v>70</v>
      </c>
      <c r="BE15" s="164">
        <f>Table211123[[#This Row],[2029]]/(Revenues!$N14*Dashboard!$E$26)</f>
        <v>81.808695652173924</v>
      </c>
      <c r="BF15" s="164">
        <f>Table211123[[#This Row],[2030]]/(Revenues!$N14*Dashboard!$E$26)</f>
        <v>93.8</v>
      </c>
      <c r="BG15" s="164">
        <f>Table211123[[#This Row],[2031]]/(Revenues!$N14*Dashboard!$E$26)</f>
        <v>96.417391304347802</v>
      </c>
      <c r="BH15" s="164">
        <f>Table211123[[#This Row],[2032]]/(Revenues!$N14*Dashboard!$E$26)</f>
        <v>97.147826086956513</v>
      </c>
      <c r="BI15" s="51">
        <f>SUM(Table21112321[[#This Row],[2026]:[2032]])</f>
        <v>439.17391304347825</v>
      </c>
      <c r="BJ15" s="55"/>
    </row>
    <row r="16" spans="1:62" x14ac:dyDescent="0.35">
      <c r="A16" t="s">
        <v>12</v>
      </c>
      <c r="B16" s="134">
        <f>Revenues!CG48</f>
        <v>4559.1306791947191</v>
      </c>
      <c r="C16" s="69">
        <f>Revenues!CH48</f>
        <v>5420.7573458613861</v>
      </c>
      <c r="D16" s="128">
        <f>Revenues!CI48</f>
        <v>8078.6300975952527</v>
      </c>
      <c r="E16" s="128">
        <f>Revenues!CJ48</f>
        <v>10559.128437318801</v>
      </c>
      <c r="F16" s="128">
        <f>Revenues!CK48</f>
        <v>8805.4809358162856</v>
      </c>
      <c r="G16" s="128">
        <f>Revenues!CL48</f>
        <v>8675.7514376792351</v>
      </c>
      <c r="H16" s="128">
        <f>Revenues!CM48</f>
        <v>8263.2817581755626</v>
      </c>
      <c r="I16" s="51">
        <f>SUM(Table21112327[[#This Row],[2026]:[2032]])</f>
        <v>54362.160691641257</v>
      </c>
      <c r="J16" s="55"/>
      <c r="K16" t="s">
        <v>12</v>
      </c>
      <c r="L16" s="164"/>
      <c r="M16" s="128">
        <f>IF(Dashboard!$C$3=2027,Dashboard!$C$26*Revenues!$N15*Dashboard!$E$26,0)</f>
        <v>0</v>
      </c>
      <c r="N16" s="128">
        <f>IF(Dashboard!$C$3=2027,Dashboard!$C$26*Revenues!$N15*(Dashboard!$E$26-(X$39-$W$39)*2/100)*(1+(Revenues!AV$8-Revenues!$AU$8)/Revenues!$AU$8),Dashboard!$C$26*Revenues!$N15*Dashboard!$E$26)</f>
        <v>2920.96</v>
      </c>
      <c r="O16" s="128">
        <f>IF(Dashboard!$C$3=2027,Dashboard!$C$26*Revenues!$N15*(Dashboard!$E$26-(Y$39-$W$39)*2/100)*(1+(Revenues!AW$8-Revenues!$AU$8)/Revenues!$AU$8),Dashboard!$C$26*Revenues!$N15*(Dashboard!$E$26-(Y$39-$X$39)*2/100)*(1+(Revenues!AW$8-Revenues!$AV$8)/Revenues!$AV$8))</f>
        <v>3413.7132521739131</v>
      </c>
      <c r="P16" s="128">
        <f>IF(Dashboard!$C$3=2027,Dashboard!$C$26*Revenues!$N15*(Dashboard!$E$26-(Z$39-$W$39)*2/100)*(1+(Revenues!AX$8-Revenues!$AU$8)/Revenues!$AU$8),Dashboard!$C$26*Revenues!$N15*(Dashboard!$E$26-(Z$39-$X$39)*2/100)*(1+(Revenues!AX$8-Revenues!$AV$8)/Revenues!$AV$8))</f>
        <v>3914.0864000000006</v>
      </c>
      <c r="Q16" s="128">
        <f>IF(Dashboard!$C$3=2027,Dashboard!$C$26*Revenues!$N15*(Dashboard!$E$26-(AA$39-$W$39)*2/100)*(1+(Revenues!AY$8-Revenues!$AU$8)/Revenues!$AU$8),Dashboard!$C$26*Revenues!$N15*(Dashboard!$E$26-(AA$39-$X$39)*2/100)*(1+(Revenues!AY$8-Revenues!$AV$8)/Revenues!$AV$8))</f>
        <v>4023.3049043478259</v>
      </c>
      <c r="R16" s="128">
        <f>IF(Dashboard!$C$3=2027,Dashboard!$C$26*Revenues!$N15*(Dashboard!$E$26-(AB$39-$W$39)*2/100)*(1+(Revenues!AZ$8-Revenues!$AU$8)/Revenues!$AU$8),Dashboard!$C$26*Revenues!$N15*(Dashboard!$E$26-(AB$39-$X$39)*2/100)*(1+(Revenues!AZ$8-Revenues!$AV$8)/Revenues!$AV$8))</f>
        <v>4053.784486956522</v>
      </c>
      <c r="S16" s="51">
        <f>SUM(Table211123[[#This Row],[2026]:[2032]])</f>
        <v>18325.849043478262</v>
      </c>
      <c r="T16" s="55"/>
      <c r="U16" t="s">
        <v>12</v>
      </c>
      <c r="V16" s="132">
        <f>Dashboard!$C$28*Revenues!$N15*($AC$3+12*($AC$2-$AC$4))</f>
        <v>2253.3120000000004</v>
      </c>
      <c r="W16" s="132">
        <f>Dashboard!$C$28*Revenues!$N15*($AC$3+12*($AC$2-$AC$4)*(1+W$3))</f>
        <v>3254.7840000000001</v>
      </c>
      <c r="X16" s="69">
        <f>Dashboard!$C$28*Revenues!$N15*($AC$3+12*($AC$2-$AC$4)*(1+X$3))</f>
        <v>3755.5200000000004</v>
      </c>
      <c r="Y16" s="69">
        <f>Dashboard!$C$28*Revenues!$N15*($AC$3+12*($AC$2-$AC$4)*(1+Y$3))</f>
        <v>3755.5200000000004</v>
      </c>
      <c r="Z16" s="69">
        <f>Dashboard!$C$28*Revenues!$N15*($AC$3+12*($AC$2-$AC$4)*(1+Z$3))</f>
        <v>3755.5200000000004</v>
      </c>
      <c r="AA16" s="69">
        <f>Dashboard!$C$28*Revenues!$N15*($AC$3+12*($AC$2-$AC$4)*(1+AA$3))</f>
        <v>3755.5200000000004</v>
      </c>
      <c r="AB16" s="69">
        <f>Dashboard!$C$28*Revenues!$N15*($AC$3+12*($AC$2-$AC$4)*(1+AB$3))</f>
        <v>3755.5200000000004</v>
      </c>
      <c r="AC16" s="51">
        <f>SUM(Table21112325[[#This Row],[2026]:[2032]])</f>
        <v>24285.696000000004</v>
      </c>
      <c r="AD16" s="55"/>
      <c r="AE16" s="150" t="s">
        <v>12</v>
      </c>
      <c r="AF16" s="69">
        <f>Dashboard!$C$35*B50*(V50*Dashboard!$C$34)+Dashboard!$C$38*Dashboard!$C$36*B50*(V50*Dashboard!$C$34)</f>
        <v>1071706667.2670403</v>
      </c>
      <c r="AG16" s="69">
        <f>Dashboard!$C$35*C50*(W50*Dashboard!$C$34)+Dashboard!$C$38*Dashboard!$C$36*C50*(W50*Dashboard!$C$34)+Dashboard!$C$38*B50*Dashboard!$C$36*14/15*(V50*Dashboard!$C$34)</f>
        <v>934071761.151636</v>
      </c>
      <c r="AH16" s="69">
        <f>Dashboard!$C$35*D50*(X50*Dashboard!$C$34)+Dashboard!$C$38*Dashboard!$C$36*D50*(X50*Dashboard!$C$34)+Dashboard!$C$38*B50*Dashboard!$C$36*13/15*(V50*Dashboard!$C$34)+Dashboard!$C$38*C50*Dashboard!$C$36*14/15*(W50*Dashboard!$C$34)</f>
        <v>866745736.82480764</v>
      </c>
      <c r="AI16" s="69">
        <f>Dashboard!$C$35*E50*(Y50*Dashboard!$C$34)+Dashboard!$C$38*Dashboard!$C$36*E50*(Y50*Dashboard!$C$34)+Dashboard!$C$38*B50*Dashboard!$C$36*12/15*(V50*Dashboard!$C$34)+Dashboard!$C$38*C50*Dashboard!$C$36*13/15*(W50*Dashboard!$C$34)+Dashboard!$C$38*D50*Dashboard!$C$36*14/15*(X50*Dashboard!$C$34)</f>
        <v>837989947.83290386</v>
      </c>
      <c r="AJ16" s="69">
        <f>Dashboard!$C$35*F50*(Z50*Dashboard!$C$34)+Dashboard!$C$38*Dashboard!$C$36*F50*(Z50*Dashboard!$C$34)+Dashboard!$C$38*B50*Dashboard!$C$36*11/15*(V50*Dashboard!$C$34)+Dashboard!$C$38*C50*Dashboard!$C$36*12/15*(W50*Dashboard!$C$34)+Dashboard!$C$38*D50*Dashboard!$C$36*13/15*(X50*Dashboard!$C$34)+Dashboard!$C$38*E50*Dashboard!$C$36*14/15*(Y50*Dashboard!$C$34)</f>
        <v>833711309.83472776</v>
      </c>
      <c r="AK16" s="69">
        <f>Dashboard!$C$35*G50*(AA50*Dashboard!$C$34)+Dashboard!$C$38*Dashboard!$C$36*G50*(AA50*Dashboard!$C$34)+Dashboard!$C$38*B50*Dashboard!$C$36*10/15*(V50*Dashboard!$C$34)+Dashboard!$C$38*C50*Dashboard!$C$36*11/15*(W50*Dashboard!$C$34)+Dashboard!$C$38*D50*Dashboard!$C$36*12/15*(X50*Dashboard!$C$34)+Dashboard!$C$38*E50*Dashboard!$C$36*13/15*(Y50*Dashboard!$C$34)+Dashboard!$C$38*F50*Dashboard!$C$36*14/15*(Z50*Dashboard!$C$34)</f>
        <v>827408800.59223342</v>
      </c>
      <c r="AL16" s="69">
        <f>Dashboard!$C$35*H50*(AB50*Dashboard!$C$34)+Dashboard!$C$38*Dashboard!$C$36*H50*(AB50*Dashboard!$C$34)+Dashboard!$C$38*Dashboard!$C$36*B50*9/15*(V50*Dashboard!$C$34)+Dashboard!$C$38*C50*Dashboard!$C$36*10/15*(W50*Dashboard!$C$34)+Dashboard!$C$38*D50*Dashboard!$C$36*11/15*(X50*Dashboard!$C$34)+Dashboard!$C$38*E50*Dashboard!$C$36*12/15*(Y50*Dashboard!$C$34)+Dashboard!$C$38*F50*Dashboard!$C$36*13/15*(Z50*Dashboard!$C$34)+Dashboard!$C$38*G50*Dashboard!$C$36*14/15*(AA50*Dashboard!$C$34)</f>
        <v>819191086.89614415</v>
      </c>
      <c r="AO16" s="147"/>
      <c r="AP16" s="150" t="s">
        <v>12</v>
      </c>
      <c r="AQ16" s="258">
        <f>Tabelle8[[#This Row],[2026]]/1000000</f>
        <v>1071.7066672670403</v>
      </c>
      <c r="AR16" s="258">
        <f>Tabelle8[[#This Row],[2027]]/1000000</f>
        <v>934.071761151636</v>
      </c>
      <c r="AS16" s="258">
        <f>Tabelle8[[#This Row],[2028]]/1000000</f>
        <v>866.74573682480764</v>
      </c>
      <c r="AT16" s="258">
        <f>Tabelle8[[#This Row],[2029]]/1000000</f>
        <v>837.98994783290391</v>
      </c>
      <c r="AU16" s="258">
        <f>Tabelle8[[#This Row],[2030]]/1000000</f>
        <v>833.71130983472779</v>
      </c>
      <c r="AV16" s="258">
        <f>Tabelle8[[#This Row],[2031]]/1000000</f>
        <v>827.40880059223343</v>
      </c>
      <c r="AW16" s="258">
        <f>Tabelle8[[#This Row],[2032]]/1000000</f>
        <v>819.19108689614416</v>
      </c>
      <c r="AX16" s="69">
        <f>Tabelle8[[#This Row],[2033]]/1000000</f>
        <v>0</v>
      </c>
      <c r="AY16" s="69">
        <f>Tabelle8[[#This Row],[2034]]/1000000</f>
        <v>0</v>
      </c>
      <c r="AZ16" s="76">
        <f>Tabelle8[[#This Row],[2035]]/1000000</f>
        <v>0</v>
      </c>
      <c r="BA16" t="s">
        <v>12</v>
      </c>
      <c r="BB16" s="164">
        <f>Table211123[[#This Row],[2026]]/(Revenues!$N15*Dashboard!$E$26)</f>
        <v>0</v>
      </c>
      <c r="BC16" s="164">
        <f>Table211123[[#This Row],[2027]]/(Revenues!$N15*Dashboard!$E$26)</f>
        <v>0</v>
      </c>
      <c r="BD16" s="164">
        <f>Table211123[[#This Row],[2028]]/(Revenues!$N15*Dashboard!$E$26)</f>
        <v>70</v>
      </c>
      <c r="BE16" s="164">
        <f>Table211123[[#This Row],[2029]]/(Revenues!$N15*Dashboard!$E$26)</f>
        <v>81.80869565217391</v>
      </c>
      <c r="BF16" s="164">
        <f>Table211123[[#This Row],[2030]]/(Revenues!$N15*Dashboard!$E$26)</f>
        <v>93.800000000000011</v>
      </c>
      <c r="BG16" s="164">
        <f>Table211123[[#This Row],[2031]]/(Revenues!$N15*Dashboard!$E$26)</f>
        <v>96.417391304347817</v>
      </c>
      <c r="BH16" s="164">
        <f>Table211123[[#This Row],[2032]]/(Revenues!$N15*Dashboard!$E$26)</f>
        <v>97.147826086956528</v>
      </c>
      <c r="BI16" s="51">
        <f>SUM(Table21112321[[#This Row],[2026]:[2032]])</f>
        <v>439.17391304347825</v>
      </c>
      <c r="BJ16" s="55"/>
    </row>
    <row r="17" spans="1:62" x14ac:dyDescent="0.35">
      <c r="A17" t="s">
        <v>13</v>
      </c>
      <c r="B17" s="134">
        <f>Revenues!CG49</f>
        <v>509.61162674898094</v>
      </c>
      <c r="C17" s="69">
        <f>Revenues!CH49</f>
        <v>1091.0516267489809</v>
      </c>
      <c r="D17" s="128">
        <f>Revenues!CI49</f>
        <v>1072.3164814929905</v>
      </c>
      <c r="E17" s="128">
        <f>Revenues!CJ49</f>
        <v>1231.6766542563444</v>
      </c>
      <c r="F17" s="128">
        <f>Revenues!CK49</f>
        <v>1102.0740246966629</v>
      </c>
      <c r="G17" s="128">
        <f>Revenues!CL49</f>
        <v>1078.3352799636205</v>
      </c>
      <c r="H17" s="128">
        <f>Revenues!CM49</f>
        <v>1030.3389474409598</v>
      </c>
      <c r="I17" s="51">
        <f>SUM(Table21112327[[#This Row],[2026]:[2032]])</f>
        <v>7115.4046413485403</v>
      </c>
      <c r="J17" s="55"/>
      <c r="K17" t="s">
        <v>13</v>
      </c>
      <c r="L17" s="164"/>
      <c r="M17" s="128">
        <f>IF(Dashboard!$C$3=2027,Dashboard!$C$26*Revenues!$N16*Dashboard!$E$26,0)</f>
        <v>0</v>
      </c>
      <c r="N17" s="128">
        <f>IF(Dashboard!$C$3=2027,Dashboard!$C$26*Revenues!$N16*(Dashboard!$E$26-(X$39-$W$39)*2/100)*(1+(Revenues!AV$8-Revenues!$AU$8)/Revenues!$AU$8),Dashboard!$C$26*Revenues!$N16*Dashboard!$E$26)</f>
        <v>364.03499999999997</v>
      </c>
      <c r="O17" s="128">
        <f>IF(Dashboard!$C$3=2027,Dashboard!$C$26*Revenues!$N16*(Dashboard!$E$26-(Y$39-$W$39)*2/100)*(1+(Revenues!AW$8-Revenues!$AU$8)/Revenues!$AU$8),Dashboard!$C$26*Revenues!$N16*(Dashboard!$E$26-(Y$39-$X$39)*2/100)*(1+(Revenues!AW$8-Revenues!$AV$8)/Revenues!$AV$8))</f>
        <v>425.44612173913043</v>
      </c>
      <c r="P17" s="128">
        <f>IF(Dashboard!$C$3=2027,Dashboard!$C$26*Revenues!$N16*(Dashboard!$E$26-(Z$39-$W$39)*2/100)*(1+(Revenues!AX$8-Revenues!$AU$8)/Revenues!$AU$8),Dashboard!$C$26*Revenues!$N16*(Dashboard!$E$26-(Z$39-$X$39)*2/100)*(1+(Revenues!AX$8-Revenues!$AV$8)/Revenues!$AV$8))</f>
        <v>487.80689999999998</v>
      </c>
      <c r="Q17" s="128">
        <f>IF(Dashboard!$C$3=2027,Dashboard!$C$26*Revenues!$N16*(Dashboard!$E$26-(AA$39-$W$39)*2/100)*(1+(Revenues!AY$8-Revenues!$AU$8)/Revenues!$AU$8),Dashboard!$C$26*Revenues!$N16*(Dashboard!$E$26-(AA$39-$X$39)*2/100)*(1+(Revenues!AY$8-Revenues!$AV$8)/Revenues!$AV$8))</f>
        <v>501.41864347826083</v>
      </c>
      <c r="R17" s="128">
        <f>IF(Dashboard!$C$3=2027,Dashboard!$C$26*Revenues!$N16*(Dashboard!$E$26-(AB$39-$W$39)*2/100)*(1+(Revenues!AZ$8-Revenues!$AU$8)/Revenues!$AU$8),Dashboard!$C$26*Revenues!$N16*(Dashboard!$E$26-(AB$39-$X$39)*2/100)*(1+(Revenues!AZ$8-Revenues!$AV$8)/Revenues!$AV$8))</f>
        <v>505.21726956521729</v>
      </c>
      <c r="S17" s="51">
        <f>SUM(Table211123[[#This Row],[2026]:[2032]])</f>
        <v>2283.9239347826087</v>
      </c>
      <c r="T17" s="55"/>
      <c r="U17" t="s">
        <v>13</v>
      </c>
      <c r="V17" s="132">
        <f>Dashboard!$C$28*Revenues!$N16*($AC$3+12*($AC$2-$AC$4))</f>
        <v>280.827</v>
      </c>
      <c r="W17" s="132">
        <f>Dashboard!$C$28*Revenues!$N16*($AC$3+12*($AC$2-$AC$4)*(1+W$3))</f>
        <v>405.63900000000001</v>
      </c>
      <c r="X17" s="69">
        <f>Dashboard!$C$28*Revenues!$N16*($AC$3+12*($AC$2-$AC$4)*(1+X$3))</f>
        <v>468.04500000000002</v>
      </c>
      <c r="Y17" s="69">
        <f>Dashboard!$C$28*Revenues!$N16*($AC$3+12*($AC$2-$AC$4)*(1+Y$3))</f>
        <v>468.04500000000002</v>
      </c>
      <c r="Z17" s="69">
        <f>Dashboard!$C$28*Revenues!$N16*($AC$3+12*($AC$2-$AC$4)*(1+Z$3))</f>
        <v>468.04500000000002</v>
      </c>
      <c r="AA17" s="69">
        <f>Dashboard!$C$28*Revenues!$N16*($AC$3+12*($AC$2-$AC$4)*(1+AA$3))</f>
        <v>468.04500000000002</v>
      </c>
      <c r="AB17" s="69">
        <f>Dashboard!$C$28*Revenues!$N16*($AC$3+12*($AC$2-$AC$4)*(1+AB$3))</f>
        <v>468.04500000000002</v>
      </c>
      <c r="AC17" s="51">
        <f>SUM(Table21112325[[#This Row],[2026]:[2032]])</f>
        <v>3026.6910000000003</v>
      </c>
      <c r="AD17" s="55"/>
      <c r="AE17" s="150" t="s">
        <v>13</v>
      </c>
      <c r="AF17" s="69">
        <f>Dashboard!$C$35*B51*(V51*Dashboard!$C$34)+Dashboard!$C$38*Dashboard!$C$36*B51*(V51*Dashboard!$C$34)</f>
        <v>45984470.238181159</v>
      </c>
      <c r="AG17" s="69">
        <f>Dashboard!$C$35*C51*(W51*Dashboard!$C$34)+Dashboard!$C$38*Dashboard!$C$36*C51*(W51*Dashboard!$C$34)+Dashboard!$C$38*B51*Dashboard!$C$36*14/15*(V51*Dashboard!$C$34)</f>
        <v>43730397.419848666</v>
      </c>
      <c r="AH17" s="69">
        <f>Dashboard!$C$35*D51*(X51*Dashboard!$C$34)+Dashboard!$C$38*Dashboard!$C$36*D51*(X51*Dashboard!$C$34)+Dashboard!$C$38*B51*Dashboard!$C$36*13/15*(V51*Dashboard!$C$34)+Dashboard!$C$38*C51*Dashboard!$C$36*14/15*(W51*Dashboard!$C$34)</f>
        <v>41696362.04406251</v>
      </c>
      <c r="AI17" s="69">
        <f>Dashboard!$C$35*E51*(Y51*Dashboard!$C$34)+Dashboard!$C$38*Dashboard!$C$36*E51*(Y51*Dashboard!$C$34)+Dashboard!$C$38*B51*Dashboard!$C$36*12/15*(V51*Dashboard!$C$34)+Dashboard!$C$38*C51*Dashboard!$C$36*13/15*(W51*Dashboard!$C$34)+Dashboard!$C$38*D51*Dashboard!$C$36*14/15*(X51*Dashboard!$C$34)</f>
        <v>40460951.778890096</v>
      </c>
      <c r="AJ17" s="69">
        <f>Dashboard!$C$35*F51*(Z51*Dashboard!$C$34)+Dashboard!$C$38*Dashboard!$C$36*F51*(Z51*Dashboard!$C$34)+Dashboard!$C$38*B51*Dashboard!$C$36*11/15*(V51*Dashboard!$C$34)+Dashboard!$C$38*C51*Dashboard!$C$36*12/15*(W51*Dashboard!$C$34)+Dashboard!$C$38*D51*Dashboard!$C$36*13/15*(X51*Dashboard!$C$34)+Dashboard!$C$38*E51*Dashboard!$C$36*14/15*(Y51*Dashboard!$C$34)</f>
        <v>39994481.201417185</v>
      </c>
      <c r="AK17" s="69">
        <f>Dashboard!$C$35*G51*(AA51*Dashboard!$C$34)+Dashboard!$C$38*Dashboard!$C$36*G51*(AA51*Dashboard!$C$34)+Dashboard!$C$38*B51*Dashboard!$C$36*10/15*(V51*Dashboard!$C$34)+Dashboard!$C$38*C51*Dashboard!$C$36*11/15*(W51*Dashboard!$C$34)+Dashboard!$C$38*D51*Dashboard!$C$36*12/15*(X51*Dashboard!$C$34)+Dashboard!$C$38*E51*Dashboard!$C$36*13/15*(Y51*Dashboard!$C$34)+Dashboard!$C$38*F51*Dashboard!$C$36*14/15*(Z51*Dashboard!$C$34)</f>
        <v>39496744.47672227</v>
      </c>
      <c r="AL17" s="69">
        <f>Dashboard!$C$35*H51*(AB51*Dashboard!$C$34)+Dashboard!$C$38*Dashboard!$C$36*H51*(AB51*Dashboard!$C$34)+Dashboard!$C$38*Dashboard!$C$36*B51*9/15*(V51*Dashboard!$C$34)+Dashboard!$C$38*C51*Dashboard!$C$36*10/15*(W51*Dashboard!$C$34)+Dashboard!$C$38*D51*Dashboard!$C$36*11/15*(X51*Dashboard!$C$34)+Dashboard!$C$38*E51*Dashboard!$C$36*12/15*(Y51*Dashboard!$C$34)+Dashboard!$C$38*F51*Dashboard!$C$36*13/15*(Z51*Dashboard!$C$34)+Dashboard!$C$38*G51*Dashboard!$C$36*14/15*(AA51*Dashboard!$C$34)</f>
        <v>38998454.808904923</v>
      </c>
      <c r="AO17" s="147"/>
      <c r="AP17" s="150" t="s">
        <v>13</v>
      </c>
      <c r="AQ17" s="258">
        <f>Tabelle8[[#This Row],[2026]]/1000000</f>
        <v>45.98447023818116</v>
      </c>
      <c r="AR17" s="258">
        <f>Tabelle8[[#This Row],[2027]]/1000000</f>
        <v>43.730397419848664</v>
      </c>
      <c r="AS17" s="258">
        <f>Tabelle8[[#This Row],[2028]]/1000000</f>
        <v>41.696362044062511</v>
      </c>
      <c r="AT17" s="258">
        <f>Tabelle8[[#This Row],[2029]]/1000000</f>
        <v>40.460951778890099</v>
      </c>
      <c r="AU17" s="258">
        <f>Tabelle8[[#This Row],[2030]]/1000000</f>
        <v>39.994481201417187</v>
      </c>
      <c r="AV17" s="258">
        <f>Tabelle8[[#This Row],[2031]]/1000000</f>
        <v>39.49674447672227</v>
      </c>
      <c r="AW17" s="258">
        <f>Tabelle8[[#This Row],[2032]]/1000000</f>
        <v>38.998454808904924</v>
      </c>
      <c r="AX17" s="69">
        <f>Tabelle8[[#This Row],[2033]]/1000000</f>
        <v>0</v>
      </c>
      <c r="AY17" s="69">
        <f>Tabelle8[[#This Row],[2034]]/1000000</f>
        <v>0</v>
      </c>
      <c r="AZ17" s="76">
        <f>Tabelle8[[#This Row],[2035]]/1000000</f>
        <v>0</v>
      </c>
      <c r="BA17" t="s">
        <v>13</v>
      </c>
      <c r="BB17" s="164">
        <f>Table211123[[#This Row],[2026]]/(Revenues!$N16*Dashboard!$E$26)</f>
        <v>0</v>
      </c>
      <c r="BC17" s="164">
        <f>Table211123[[#This Row],[2027]]/(Revenues!$N16*Dashboard!$E$26)</f>
        <v>0</v>
      </c>
      <c r="BD17" s="164">
        <f>Table211123[[#This Row],[2028]]/(Revenues!$N16*Dashboard!$E$26)</f>
        <v>70</v>
      </c>
      <c r="BE17" s="164">
        <f>Table211123[[#This Row],[2029]]/(Revenues!$N16*Dashboard!$E$26)</f>
        <v>81.80869565217391</v>
      </c>
      <c r="BF17" s="164">
        <f>Table211123[[#This Row],[2030]]/(Revenues!$N16*Dashboard!$E$26)</f>
        <v>93.8</v>
      </c>
      <c r="BG17" s="164">
        <f>Table211123[[#This Row],[2031]]/(Revenues!$N16*Dashboard!$E$26)</f>
        <v>96.417391304347817</v>
      </c>
      <c r="BH17" s="164">
        <f>Table211123[[#This Row],[2032]]/(Revenues!$N16*Dashboard!$E$26)</f>
        <v>97.147826086956499</v>
      </c>
      <c r="BI17" s="51">
        <f>SUM(Table21112321[[#This Row],[2026]:[2032]])</f>
        <v>439.17391304347825</v>
      </c>
      <c r="BJ17" s="55"/>
    </row>
    <row r="18" spans="1:62" x14ac:dyDescent="0.35">
      <c r="A18" t="s">
        <v>14</v>
      </c>
      <c r="B18" s="134">
        <f>Revenues!CG50</f>
        <v>501.68784576309463</v>
      </c>
      <c r="C18" s="69">
        <f>Revenues!CH50</f>
        <v>957.78117909642799</v>
      </c>
      <c r="D18" s="128">
        <f>Revenues!CI50</f>
        <v>1015.0546395205427</v>
      </c>
      <c r="E18" s="128">
        <f>Revenues!CJ50</f>
        <v>1200.2039618763324</v>
      </c>
      <c r="F18" s="128">
        <f>Revenues!CK50</f>
        <v>1056.6934947726738</v>
      </c>
      <c r="G18" s="128">
        <f>Revenues!CL50</f>
        <v>1035.5385520410232</v>
      </c>
      <c r="H18" s="128">
        <f>Revenues!CM50</f>
        <v>988.74189856873079</v>
      </c>
      <c r="I18" s="51">
        <f>SUM(Table21112327[[#This Row],[2026]:[2032]])</f>
        <v>6755.701571638825</v>
      </c>
      <c r="J18" s="55"/>
      <c r="K18" t="s">
        <v>14</v>
      </c>
      <c r="L18" s="164"/>
      <c r="M18" s="128">
        <f>IF(Dashboard!$C$3=2027,Dashboard!$C$26*Revenues!$N17*Dashboard!$E$26,0)</f>
        <v>0</v>
      </c>
      <c r="N18" s="128">
        <f>IF(Dashboard!$C$3=2027,Dashboard!$C$26*Revenues!$N17*(Dashboard!$E$26-(X$39-$W$39)*2/100)*(1+(Revenues!AV$8-Revenues!$AU$8)/Revenues!$AU$8),Dashboard!$C$26*Revenues!$N17*Dashboard!$E$26)</f>
        <v>335.47500000000002</v>
      </c>
      <c r="O18" s="128">
        <f>IF(Dashboard!$C$3=2027,Dashboard!$C$26*Revenues!$N17*(Dashboard!$E$26-(Y$39-$W$39)*2/100)*(1+(Revenues!AW$8-Revenues!$AU$8)/Revenues!$AU$8),Dashboard!$C$26*Revenues!$N17*(Dashboard!$E$26-(Y$39-$X$39)*2/100)*(1+(Revenues!AW$8-Revenues!$AV$8)/Revenues!$AV$8))</f>
        <v>392.06817391304349</v>
      </c>
      <c r="P18" s="128">
        <f>IF(Dashboard!$C$3=2027,Dashboard!$C$26*Revenues!$N17*(Dashboard!$E$26-(Z$39-$W$39)*2/100)*(1+(Revenues!AX$8-Revenues!$AU$8)/Revenues!$AU$8),Dashboard!$C$26*Revenues!$N17*(Dashboard!$E$26-(Z$39-$X$39)*2/100)*(1+(Revenues!AX$8-Revenues!$AV$8)/Revenues!$AV$8))</f>
        <v>449.5365000000001</v>
      </c>
      <c r="Q18" s="128">
        <f>IF(Dashboard!$C$3=2027,Dashboard!$C$26*Revenues!$N17*(Dashboard!$E$26-(AA$39-$W$39)*2/100)*(1+(Revenues!AY$8-Revenues!$AU$8)/Revenues!$AU$8),Dashboard!$C$26*Revenues!$N17*(Dashboard!$E$26-(AA$39-$X$39)*2/100)*(1+(Revenues!AY$8-Revenues!$AV$8)/Revenues!$AV$8))</f>
        <v>462.08034782608695</v>
      </c>
      <c r="R18" s="128">
        <f>IF(Dashboard!$C$3=2027,Dashboard!$C$26*Revenues!$N17*(Dashboard!$E$26-(AB$39-$W$39)*2/100)*(1+(Revenues!AZ$8-Revenues!$AU$8)/Revenues!$AU$8),Dashboard!$C$26*Revenues!$N17*(Dashboard!$E$26-(AB$39-$X$39)*2/100)*(1+(Revenues!AZ$8-Revenues!$AV$8)/Revenues!$AV$8))</f>
        <v>465.58095652173921</v>
      </c>
      <c r="S18" s="51">
        <f>SUM(Table211123[[#This Row],[2026]:[2032]])</f>
        <v>2104.7409782608697</v>
      </c>
      <c r="T18" s="55"/>
      <c r="U18" t="s">
        <v>14</v>
      </c>
      <c r="V18" s="132">
        <f>Dashboard!$C$28*Revenues!$N17*($AC$3+12*($AC$2-$AC$4))</f>
        <v>258.79500000000002</v>
      </c>
      <c r="W18" s="132">
        <f>Dashboard!$C$28*Revenues!$N17*($AC$3+12*($AC$2-$AC$4)*(1+W$3))</f>
        <v>373.815</v>
      </c>
      <c r="X18" s="69">
        <f>Dashboard!$C$28*Revenues!$N17*($AC$3+12*($AC$2-$AC$4)*(1+X$3))</f>
        <v>431.32500000000005</v>
      </c>
      <c r="Y18" s="69">
        <f>Dashboard!$C$28*Revenues!$N17*($AC$3+12*($AC$2-$AC$4)*(1+Y$3))</f>
        <v>431.32500000000005</v>
      </c>
      <c r="Z18" s="69">
        <f>Dashboard!$C$28*Revenues!$N17*($AC$3+12*($AC$2-$AC$4)*(1+Z$3))</f>
        <v>431.32500000000005</v>
      </c>
      <c r="AA18" s="69">
        <f>Dashboard!$C$28*Revenues!$N17*($AC$3+12*($AC$2-$AC$4)*(1+AA$3))</f>
        <v>431.32500000000005</v>
      </c>
      <c r="AB18" s="69">
        <f>Dashboard!$C$28*Revenues!$N17*($AC$3+12*($AC$2-$AC$4)*(1+AB$3))</f>
        <v>431.32500000000005</v>
      </c>
      <c r="AC18" s="51">
        <f>SUM(Table21112325[[#This Row],[2026]:[2032]])</f>
        <v>2789.2349999999997</v>
      </c>
      <c r="AD18" s="55"/>
      <c r="AE18" s="150" t="s">
        <v>14</v>
      </c>
      <c r="AF18" s="69">
        <f>Dashboard!$C$35*B52*(V52*Dashboard!$C$34)+Dashboard!$C$38*Dashboard!$C$36*B52*(V52*Dashboard!$C$34)</f>
        <v>31993025.315695331</v>
      </c>
      <c r="AG18" s="69">
        <f>Dashboard!$C$35*C52*(W52*Dashboard!$C$34)+Dashboard!$C$38*Dashboard!$C$36*C52*(W52*Dashboard!$C$34)+Dashboard!$C$38*B52*Dashboard!$C$36*14/15*(V52*Dashboard!$C$34)</f>
        <v>30424786.987259492</v>
      </c>
      <c r="AH18" s="69">
        <f>Dashboard!$C$35*D52*(X52*Dashboard!$C$34)+Dashboard!$C$38*Dashboard!$C$36*D52*(X52*Dashboard!$C$34)+Dashboard!$C$38*B52*Dashboard!$C$36*13/15*(V52*Dashboard!$C$34)+Dashboard!$C$38*C52*Dashboard!$C$36*14/15*(W52*Dashboard!$C$34)</f>
        <v>29009636.504205462</v>
      </c>
      <c r="AI18" s="69">
        <f>Dashboard!$C$35*E52*(Y52*Dashboard!$C$34)+Dashboard!$C$38*Dashboard!$C$36*E52*(Y52*Dashboard!$C$34)+Dashboard!$C$38*B52*Dashboard!$C$36*12/15*(V52*Dashboard!$C$34)+Dashboard!$C$38*C52*Dashboard!$C$36*13/15*(W52*Dashboard!$C$34)+Dashboard!$C$38*D52*Dashboard!$C$36*14/15*(X52*Dashboard!$C$34)</f>
        <v>28150117.808345545</v>
      </c>
      <c r="AJ18" s="69">
        <f>Dashboard!$C$35*F52*(Z52*Dashboard!$C$34)+Dashboard!$C$38*Dashboard!$C$36*F52*(Z52*Dashboard!$C$34)+Dashboard!$C$38*B52*Dashboard!$C$36*11/15*(V52*Dashboard!$C$34)+Dashboard!$C$38*C52*Dashboard!$C$36*12/15*(W52*Dashboard!$C$34)+Dashboard!$C$38*D52*Dashboard!$C$36*13/15*(X52*Dashboard!$C$34)+Dashboard!$C$38*E52*Dashboard!$C$36*14/15*(Y52*Dashboard!$C$34)</f>
        <v>27825577.69911262</v>
      </c>
      <c r="AK18" s="69">
        <f>Dashboard!$C$35*G52*(AA52*Dashboard!$C$34)+Dashboard!$C$38*Dashboard!$C$36*G52*(AA52*Dashboard!$C$34)+Dashboard!$C$38*B52*Dashboard!$C$36*10/15*(V52*Dashboard!$C$34)+Dashboard!$C$38*C52*Dashboard!$C$36*11/15*(W52*Dashboard!$C$34)+Dashboard!$C$38*D52*Dashboard!$C$36*12/15*(X52*Dashboard!$C$34)+Dashboard!$C$38*E52*Dashboard!$C$36*13/15*(Y52*Dashboard!$C$34)+Dashboard!$C$38*F52*Dashboard!$C$36*14/15*(Z52*Dashboard!$C$34)</f>
        <v>27479284.623401716</v>
      </c>
      <c r="AL18" s="69">
        <f>Dashboard!$C$35*H52*(AB52*Dashboard!$C$34)+Dashboard!$C$38*Dashboard!$C$36*H52*(AB52*Dashboard!$C$34)+Dashboard!$C$38*Dashboard!$C$36*B52*9/15*(V52*Dashboard!$C$34)+Dashboard!$C$38*C52*Dashboard!$C$36*10/15*(W52*Dashboard!$C$34)+Dashboard!$C$38*D52*Dashboard!$C$36*11/15*(X52*Dashboard!$C$34)+Dashboard!$C$38*E52*Dashboard!$C$36*12/15*(Y52*Dashboard!$C$34)+Dashboard!$C$38*F52*Dashboard!$C$36*13/15*(Z52*Dashboard!$C$34)+Dashboard!$C$38*G52*Dashboard!$C$36*14/15*(AA52*Dashboard!$C$34)</f>
        <v>27132606.845568068</v>
      </c>
      <c r="AO18" s="147"/>
      <c r="AP18" s="150" t="s">
        <v>14</v>
      </c>
      <c r="AQ18" s="258">
        <f>Tabelle8[[#This Row],[2026]]/1000000</f>
        <v>31.993025315695331</v>
      </c>
      <c r="AR18" s="258">
        <f>Tabelle8[[#This Row],[2027]]/1000000</f>
        <v>30.424786987259491</v>
      </c>
      <c r="AS18" s="258">
        <f>Tabelle8[[#This Row],[2028]]/1000000</f>
        <v>29.00963650420546</v>
      </c>
      <c r="AT18" s="258">
        <f>Tabelle8[[#This Row],[2029]]/1000000</f>
        <v>28.150117808345545</v>
      </c>
      <c r="AU18" s="258">
        <f>Tabelle8[[#This Row],[2030]]/1000000</f>
        <v>27.825577699112621</v>
      </c>
      <c r="AV18" s="258">
        <f>Tabelle8[[#This Row],[2031]]/1000000</f>
        <v>27.479284623401718</v>
      </c>
      <c r="AW18" s="258">
        <f>Tabelle8[[#This Row],[2032]]/1000000</f>
        <v>27.13260684556807</v>
      </c>
      <c r="AX18" s="69">
        <f>Tabelle8[[#This Row],[2033]]/1000000</f>
        <v>0</v>
      </c>
      <c r="AY18" s="69">
        <f>Tabelle8[[#This Row],[2034]]/1000000</f>
        <v>0</v>
      </c>
      <c r="AZ18" s="76">
        <f>Tabelle8[[#This Row],[2035]]/1000000</f>
        <v>0</v>
      </c>
      <c r="BA18" t="s">
        <v>14</v>
      </c>
      <c r="BB18" s="164">
        <f>Table211123[[#This Row],[2026]]/(Revenues!$N17*Dashboard!$E$26)</f>
        <v>0</v>
      </c>
      <c r="BC18" s="164">
        <f>Table211123[[#This Row],[2027]]/(Revenues!$N17*Dashboard!$E$26)</f>
        <v>0</v>
      </c>
      <c r="BD18" s="164">
        <f>Table211123[[#This Row],[2028]]/(Revenues!$N17*Dashboard!$E$26)</f>
        <v>70</v>
      </c>
      <c r="BE18" s="164">
        <f>Table211123[[#This Row],[2029]]/(Revenues!$N17*Dashboard!$E$26)</f>
        <v>81.80869565217391</v>
      </c>
      <c r="BF18" s="164">
        <f>Table211123[[#This Row],[2030]]/(Revenues!$N17*Dashboard!$E$26)</f>
        <v>93.800000000000011</v>
      </c>
      <c r="BG18" s="164">
        <f>Table211123[[#This Row],[2031]]/(Revenues!$N17*Dashboard!$E$26)</f>
        <v>96.417391304347817</v>
      </c>
      <c r="BH18" s="164">
        <f>Table211123[[#This Row],[2032]]/(Revenues!$N17*Dashboard!$E$26)</f>
        <v>97.147826086956528</v>
      </c>
      <c r="BI18" s="51">
        <f>SUM(Table21112321[[#This Row],[2026]:[2032]])</f>
        <v>439.17391304347825</v>
      </c>
      <c r="BJ18" s="55"/>
    </row>
    <row r="19" spans="1:62" x14ac:dyDescent="0.35">
      <c r="A19" t="s">
        <v>15</v>
      </c>
      <c r="B19" s="134">
        <f>Revenues!CG51</f>
        <v>314.77088220924941</v>
      </c>
      <c r="C19" s="69">
        <f>Revenues!CH51</f>
        <v>422.21088220924941</v>
      </c>
      <c r="D19" s="128">
        <f>Revenues!CI51</f>
        <v>574.49797366605935</v>
      </c>
      <c r="E19" s="128">
        <f>Revenues!CJ51</f>
        <v>734.10203968269616</v>
      </c>
      <c r="F19" s="128">
        <f>Revenues!CK51</f>
        <v>619.59181615618104</v>
      </c>
      <c r="G19" s="128">
        <f>Revenues!CL51</f>
        <v>609.72195517584021</v>
      </c>
      <c r="H19" s="128">
        <f>Revenues!CM51</f>
        <v>581.05734767652768</v>
      </c>
      <c r="I19" s="51">
        <f>SUM(Table21112327[[#This Row],[2026]:[2032]])</f>
        <v>3855.9528967758033</v>
      </c>
      <c r="J19" s="55"/>
      <c r="K19" t="s">
        <v>15</v>
      </c>
      <c r="L19" s="164"/>
      <c r="M19" s="128">
        <f>IF(Dashboard!$C$3=2027,Dashboard!$C$26*Revenues!$N18*Dashboard!$E$26,0)</f>
        <v>0</v>
      </c>
      <c r="N19" s="128">
        <f>IF(Dashboard!$C$3=2027,Dashboard!$C$26*Revenues!$N18*(Dashboard!$E$26-(X$39-$W$39)*2/100)*(1+(Revenues!AV$8-Revenues!$AU$8)/Revenues!$AU$8),Dashboard!$C$26*Revenues!$N18*Dashboard!$E$26)</f>
        <v>187.32000000000002</v>
      </c>
      <c r="O19" s="128">
        <f>IF(Dashboard!$C$3=2027,Dashboard!$C$26*Revenues!$N18*(Dashboard!$E$26-(Y$39-$W$39)*2/100)*(1+(Revenues!AW$8-Revenues!$AU$8)/Revenues!$AU$8),Dashboard!$C$26*Revenues!$N18*(Dashboard!$E$26-(Y$39-$X$39)*2/100)*(1+(Revenues!AW$8-Revenues!$AV$8)/Revenues!$AV$8))</f>
        <v>218.9200695652174</v>
      </c>
      <c r="P19" s="128">
        <f>IF(Dashboard!$C$3=2027,Dashboard!$C$26*Revenues!$N18*(Dashboard!$E$26-(Z$39-$W$39)*2/100)*(1+(Revenues!AX$8-Revenues!$AU$8)/Revenues!$AU$8),Dashboard!$C$26*Revenues!$N18*(Dashboard!$E$26-(Z$39-$X$39)*2/100)*(1+(Revenues!AX$8-Revenues!$AV$8)/Revenues!$AV$8))</f>
        <v>251.00880000000004</v>
      </c>
      <c r="Q19" s="128">
        <f>IF(Dashboard!$C$3=2027,Dashboard!$C$26*Revenues!$N18*(Dashboard!$E$26-(AA$39-$W$39)*2/100)*(1+(Revenues!AY$8-Revenues!$AU$8)/Revenues!$AU$8),Dashboard!$C$26*Revenues!$N18*(Dashboard!$E$26-(AA$39-$X$39)*2/100)*(1+(Revenues!AY$8-Revenues!$AV$8)/Revenues!$AV$8))</f>
        <v>258.0129391304348</v>
      </c>
      <c r="R19" s="128">
        <f>IF(Dashboard!$C$3=2027,Dashboard!$C$26*Revenues!$N18*(Dashboard!$E$26-(AB$39-$W$39)*2/100)*(1+(Revenues!AZ$8-Revenues!$AU$8)/Revenues!$AU$8),Dashboard!$C$26*Revenues!$N18*(Dashboard!$E$26-(AB$39-$X$39)*2/100)*(1+(Revenues!AZ$8-Revenues!$AV$8)/Revenues!$AV$8))</f>
        <v>259.96758260869569</v>
      </c>
      <c r="S19" s="51">
        <f>SUM(Table211123[[#This Row],[2026]:[2032]])</f>
        <v>1175.2293913043479</v>
      </c>
      <c r="T19" s="55"/>
      <c r="U19" t="s">
        <v>15</v>
      </c>
      <c r="V19" s="132">
        <f>Dashboard!$C$28*Revenues!$N18*($AC$3+12*($AC$2-$AC$4))</f>
        <v>144.50400000000002</v>
      </c>
      <c r="W19" s="132">
        <f>Dashboard!$C$28*Revenues!$N18*($AC$3+12*($AC$2-$AC$4)*(1+W$3))</f>
        <v>208.72800000000001</v>
      </c>
      <c r="X19" s="69">
        <f>Dashboard!$C$28*Revenues!$N18*($AC$3+12*($AC$2-$AC$4)*(1+X$3))</f>
        <v>240.84000000000003</v>
      </c>
      <c r="Y19" s="69">
        <f>Dashboard!$C$28*Revenues!$N18*($AC$3+12*($AC$2-$AC$4)*(1+Y$3))</f>
        <v>240.84000000000003</v>
      </c>
      <c r="Z19" s="69">
        <f>Dashboard!$C$28*Revenues!$N18*($AC$3+12*($AC$2-$AC$4)*(1+Z$3))</f>
        <v>240.84000000000003</v>
      </c>
      <c r="AA19" s="69">
        <f>Dashboard!$C$28*Revenues!$N18*($AC$3+12*($AC$2-$AC$4)*(1+AA$3))</f>
        <v>240.84000000000003</v>
      </c>
      <c r="AB19" s="69">
        <f>Dashboard!$C$28*Revenues!$N18*($AC$3+12*($AC$2-$AC$4)*(1+AB$3))</f>
        <v>240.84000000000003</v>
      </c>
      <c r="AC19" s="51">
        <f>SUM(Table21112325[[#This Row],[2026]:[2032]])</f>
        <v>1557.4320000000002</v>
      </c>
      <c r="AD19" s="55"/>
      <c r="AE19" s="150" t="s">
        <v>15</v>
      </c>
      <c r="AF19" s="69">
        <f>Dashboard!$C$35*B53*(V53*Dashboard!$C$34)+Dashboard!$C$38*Dashboard!$C$36*B53*(V53*Dashboard!$C$34)</f>
        <v>23607775.271885127</v>
      </c>
      <c r="AG19" s="69">
        <f>Dashboard!$C$35*C53*(W53*Dashboard!$C$34)+Dashboard!$C$38*Dashboard!$C$36*C53*(W53*Dashboard!$C$34)+Dashboard!$C$38*B53*Dashboard!$C$36*14/15*(V53*Dashboard!$C$34)</f>
        <v>22450566.234441981</v>
      </c>
      <c r="AH19" s="69">
        <f>Dashboard!$C$35*D53*(X53*Dashboard!$C$34)+Dashboard!$C$38*Dashboard!$C$36*D53*(X53*Dashboard!$C$34)+Dashboard!$C$38*B53*Dashboard!$C$36*13/15*(V53*Dashboard!$C$34)+Dashboard!$C$38*C53*Dashboard!$C$36*14/15*(W53*Dashboard!$C$34)</f>
        <v>21406321.301361226</v>
      </c>
      <c r="AI19" s="69">
        <f>Dashboard!$C$35*E53*(Y53*Dashboard!$C$34)+Dashboard!$C$38*Dashboard!$C$36*E53*(Y53*Dashboard!$C$34)+Dashboard!$C$38*B53*Dashboard!$C$36*12/15*(V53*Dashboard!$C$34)+Dashboard!$C$38*C53*Dashboard!$C$36*13/15*(W53*Dashboard!$C$34)+Dashboard!$C$38*D53*Dashboard!$C$36*14/15*(X53*Dashboard!$C$34)</f>
        <v>20772079.180973504</v>
      </c>
      <c r="AJ19" s="69">
        <f>Dashboard!$C$35*F53*(Z53*Dashboard!$C$34)+Dashboard!$C$38*Dashboard!$C$36*F53*(Z53*Dashboard!$C$34)+Dashboard!$C$38*B53*Dashboard!$C$36*11/15*(V53*Dashboard!$C$34)+Dashboard!$C$38*C53*Dashboard!$C$36*12/15*(W53*Dashboard!$C$34)+Dashboard!$C$38*D53*Dashboard!$C$36*13/15*(X53*Dashboard!$C$34)+Dashboard!$C$38*E53*Dashboard!$C$36*14/15*(Y53*Dashboard!$C$34)</f>
        <v>20532599.797892921</v>
      </c>
      <c r="AK19" s="69">
        <f>Dashboard!$C$35*G53*(AA53*Dashboard!$C$34)+Dashboard!$C$38*Dashboard!$C$36*G53*(AA53*Dashboard!$C$34)+Dashboard!$C$38*B53*Dashboard!$C$36*10/15*(V53*Dashboard!$C$34)+Dashboard!$C$38*C53*Dashboard!$C$36*11/15*(W53*Dashboard!$C$34)+Dashboard!$C$38*D53*Dashboard!$C$36*12/15*(X53*Dashboard!$C$34)+Dashboard!$C$38*E53*Dashboard!$C$36*13/15*(Y53*Dashboard!$C$34)+Dashboard!$C$38*F53*Dashboard!$C$36*14/15*(Z53*Dashboard!$C$34)</f>
        <v>20277068.817970805</v>
      </c>
      <c r="AL19" s="69">
        <f>Dashboard!$C$35*H53*(AB53*Dashboard!$C$34)+Dashboard!$C$38*Dashboard!$C$36*H53*(AB53*Dashboard!$C$34)+Dashboard!$C$38*Dashboard!$C$36*B53*9/15*(V53*Dashboard!$C$34)+Dashboard!$C$38*C53*Dashboard!$C$36*10/15*(W53*Dashboard!$C$34)+Dashboard!$C$38*D53*Dashboard!$C$36*11/15*(X53*Dashboard!$C$34)+Dashboard!$C$38*E53*Dashboard!$C$36*12/15*(Y53*Dashboard!$C$34)+Dashboard!$C$38*F53*Dashboard!$C$36*13/15*(Z53*Dashboard!$C$34)+Dashboard!$C$38*G53*Dashboard!$C$36*14/15*(AA53*Dashboard!$C$34)</f>
        <v>20021253.964886621</v>
      </c>
      <c r="AO19" s="147"/>
      <c r="AP19" s="150" t="s">
        <v>15</v>
      </c>
      <c r="AQ19" s="258">
        <f>Tabelle8[[#This Row],[2026]]/1000000</f>
        <v>23.607775271885128</v>
      </c>
      <c r="AR19" s="258">
        <f>Tabelle8[[#This Row],[2027]]/1000000</f>
        <v>22.450566234441979</v>
      </c>
      <c r="AS19" s="258">
        <f>Tabelle8[[#This Row],[2028]]/1000000</f>
        <v>21.406321301361224</v>
      </c>
      <c r="AT19" s="258">
        <f>Tabelle8[[#This Row],[2029]]/1000000</f>
        <v>20.772079180973503</v>
      </c>
      <c r="AU19" s="258">
        <f>Tabelle8[[#This Row],[2030]]/1000000</f>
        <v>20.532599797892921</v>
      </c>
      <c r="AV19" s="258">
        <f>Tabelle8[[#This Row],[2031]]/1000000</f>
        <v>20.277068817970804</v>
      </c>
      <c r="AW19" s="258">
        <f>Tabelle8[[#This Row],[2032]]/1000000</f>
        <v>20.021253964886622</v>
      </c>
      <c r="AX19" s="69">
        <f>Tabelle8[[#This Row],[2033]]/1000000</f>
        <v>0</v>
      </c>
      <c r="AY19" s="69">
        <f>Tabelle8[[#This Row],[2034]]/1000000</f>
        <v>0</v>
      </c>
      <c r="AZ19" s="76">
        <f>Tabelle8[[#This Row],[2035]]/1000000</f>
        <v>0</v>
      </c>
      <c r="BA19" t="s">
        <v>15</v>
      </c>
      <c r="BB19" s="164">
        <f>Table211123[[#This Row],[2026]]/(Revenues!$N18*Dashboard!$E$26)</f>
        <v>0</v>
      </c>
      <c r="BC19" s="164">
        <f>Table211123[[#This Row],[2027]]/(Revenues!$N18*Dashboard!$E$26)</f>
        <v>0</v>
      </c>
      <c r="BD19" s="164">
        <f>Table211123[[#This Row],[2028]]/(Revenues!$N18*Dashboard!$E$26)</f>
        <v>70</v>
      </c>
      <c r="BE19" s="164">
        <f>Table211123[[#This Row],[2029]]/(Revenues!$N18*Dashboard!$E$26)</f>
        <v>81.80869565217391</v>
      </c>
      <c r="BF19" s="164">
        <f>Table211123[[#This Row],[2030]]/(Revenues!$N18*Dashboard!$E$26)</f>
        <v>93.800000000000011</v>
      </c>
      <c r="BG19" s="164">
        <f>Table211123[[#This Row],[2031]]/(Revenues!$N18*Dashboard!$E$26)</f>
        <v>96.417391304347831</v>
      </c>
      <c r="BH19" s="164">
        <f>Table211123[[#This Row],[2032]]/(Revenues!$N18*Dashboard!$E$26)</f>
        <v>97.147826086956528</v>
      </c>
      <c r="BI19" s="51">
        <f>SUM(Table21112321[[#This Row],[2026]:[2032]])</f>
        <v>439.17391304347831</v>
      </c>
      <c r="BJ19" s="55"/>
    </row>
    <row r="20" spans="1:62" x14ac:dyDescent="0.35">
      <c r="A20" t="s">
        <v>16</v>
      </c>
      <c r="B20" s="134">
        <f>Revenues!CG52</f>
        <v>2783.544592229493</v>
      </c>
      <c r="C20" s="69">
        <f>Revenues!CH52</f>
        <v>3922.1979255628262</v>
      </c>
      <c r="D20" s="128">
        <f>Revenues!CI52</f>
        <v>5146.133985796203</v>
      </c>
      <c r="E20" s="128">
        <f>Revenues!CJ52</f>
        <v>6511.6999838714846</v>
      </c>
      <c r="F20" s="128">
        <f>Revenues!CK52</f>
        <v>5524.8907064604537</v>
      </c>
      <c r="G20" s="128">
        <f>Revenues!CL52</f>
        <v>5434.0203069236341</v>
      </c>
      <c r="H20" s="128">
        <f>Revenues!CM52</f>
        <v>5179.80180253664</v>
      </c>
      <c r="I20" s="51">
        <f>SUM(Table21112327[[#This Row],[2026]:[2032]])</f>
        <v>34502.289303380734</v>
      </c>
      <c r="J20" s="55"/>
      <c r="K20" t="s">
        <v>16</v>
      </c>
      <c r="L20" s="164"/>
      <c r="M20" s="128">
        <f>IF(Dashboard!$C$3=2027,Dashboard!$C$26*Revenues!$N19*Dashboard!$E$26,0)</f>
        <v>0</v>
      </c>
      <c r="N20" s="128">
        <f>IF(Dashboard!$C$3=2027,Dashboard!$C$26*Revenues!$N19*(Dashboard!$E$26-(X$39-$W$39)*2/100)*(1+(Revenues!AV$8-Revenues!$AU$8)/Revenues!$AU$8),Dashboard!$C$26*Revenues!$N19*Dashboard!$E$26)</f>
        <v>2063.9849999999997</v>
      </c>
      <c r="O20" s="128">
        <f>IF(Dashboard!$C$3=2027,Dashboard!$C$26*Revenues!$N19*(Dashboard!$E$26-(Y$39-$W$39)*2/100)*(1+(Revenues!AW$8-Revenues!$AU$8)/Revenues!$AU$8),Dashboard!$C$26*Revenues!$N19*(Dashboard!$E$26-(Y$39-$X$39)*2/100)*(1+(Revenues!AW$8-Revenues!$AV$8)/Revenues!$AV$8))</f>
        <v>2412.1702956521735</v>
      </c>
      <c r="P20" s="128">
        <f>IF(Dashboard!$C$3=2027,Dashboard!$C$26*Revenues!$N19*(Dashboard!$E$26-(Z$39-$W$39)*2/100)*(1+(Revenues!AX$8-Revenues!$AU$8)/Revenues!$AU$8),Dashboard!$C$26*Revenues!$N19*(Dashboard!$E$26-(Z$39-$X$39)*2/100)*(1+(Revenues!AX$8-Revenues!$AV$8)/Revenues!$AV$8))</f>
        <v>2765.7398999999996</v>
      </c>
      <c r="Q20" s="128">
        <f>IF(Dashboard!$C$3=2027,Dashboard!$C$26*Revenues!$N19*(Dashboard!$E$26-(AA$39-$W$39)*2/100)*(1+(Revenues!AY$8-Revenues!$AU$8)/Revenues!$AU$8),Dashboard!$C$26*Revenues!$N19*(Dashboard!$E$26-(AA$39-$X$39)*2/100)*(1+(Revenues!AY$8-Revenues!$AV$8)/Revenues!$AV$8))</f>
        <v>2842.914991304347</v>
      </c>
      <c r="R20" s="128">
        <f>IF(Dashboard!$C$3=2027,Dashboard!$C$26*Revenues!$N19*(Dashboard!$E$26-(AB$39-$W$39)*2/100)*(1+(Revenues!AZ$8-Revenues!$AU$8)/Revenues!$AU$8),Dashboard!$C$26*Revenues!$N19*(Dashboard!$E$26-(AB$39-$X$39)*2/100)*(1+(Revenues!AZ$8-Revenues!$AV$8)/Revenues!$AV$8))</f>
        <v>2864.4522260869562</v>
      </c>
      <c r="S20" s="51">
        <f>SUM(Table211123[[#This Row],[2026]:[2032]])</f>
        <v>12949.262413043476</v>
      </c>
      <c r="T20" s="55"/>
      <c r="U20" t="s">
        <v>16</v>
      </c>
      <c r="V20" s="132">
        <f>Dashboard!$C$28*Revenues!$N19*($AC$3+12*($AC$2-$AC$4))</f>
        <v>1592.2169999999999</v>
      </c>
      <c r="W20" s="132">
        <f>Dashboard!$C$28*Revenues!$N19*($AC$3+12*($AC$2-$AC$4)*(1+W$3))</f>
        <v>2299.8689999999997</v>
      </c>
      <c r="X20" s="69">
        <f>Dashboard!$C$28*Revenues!$N19*($AC$3+12*($AC$2-$AC$4)*(1+X$3))</f>
        <v>2653.6949999999997</v>
      </c>
      <c r="Y20" s="69">
        <f>Dashboard!$C$28*Revenues!$N19*($AC$3+12*($AC$2-$AC$4)*(1+Y$3))</f>
        <v>2653.6949999999997</v>
      </c>
      <c r="Z20" s="69">
        <f>Dashboard!$C$28*Revenues!$N19*($AC$3+12*($AC$2-$AC$4)*(1+Z$3))</f>
        <v>2653.6949999999997</v>
      </c>
      <c r="AA20" s="69">
        <f>Dashboard!$C$28*Revenues!$N19*($AC$3+12*($AC$2-$AC$4)*(1+AA$3))</f>
        <v>2653.6949999999997</v>
      </c>
      <c r="AB20" s="69">
        <f>Dashboard!$C$28*Revenues!$N19*($AC$3+12*($AC$2-$AC$4)*(1+AB$3))</f>
        <v>2653.6949999999997</v>
      </c>
      <c r="AC20" s="51">
        <f>SUM(Table21112325[[#This Row],[2026]:[2032]])</f>
        <v>17160.560999999998</v>
      </c>
      <c r="AD20" s="55"/>
      <c r="AE20" s="150" t="s">
        <v>16</v>
      </c>
      <c r="AF20" s="69">
        <f>Dashboard!$C$35*B54*(V54*Dashboard!$C$34)+Dashboard!$C$38*Dashboard!$C$36*B54*(V54*Dashboard!$C$34)</f>
        <v>467457401.18982506</v>
      </c>
      <c r="AG20" s="69">
        <f>Dashboard!$C$35*C54*(W54*Dashboard!$C$34)+Dashboard!$C$38*Dashboard!$C$36*C54*(W54*Dashboard!$C$34)+Dashboard!$C$38*B54*Dashboard!$C$36*14/15*(V54*Dashboard!$C$34)</f>
        <v>448138861.38442606</v>
      </c>
      <c r="AH20" s="69">
        <f>Dashboard!$C$35*D54*(X54*Dashboard!$C$34)+Dashboard!$C$38*Dashboard!$C$36*D54*(X54*Dashboard!$C$34)+Dashboard!$C$38*B54*Dashboard!$C$36*13/15*(V54*Dashboard!$C$34)+Dashboard!$C$38*C54*Dashboard!$C$36*14/15*(W54*Dashboard!$C$34)</f>
        <v>428412444.82712239</v>
      </c>
      <c r="AI20" s="69">
        <f>Dashboard!$C$35*E54*(Y54*Dashboard!$C$34)+Dashboard!$C$38*Dashboard!$C$36*E54*(Y54*Dashboard!$C$34)+Dashboard!$C$38*B54*Dashboard!$C$36*12/15*(V54*Dashboard!$C$34)+Dashboard!$C$38*C54*Dashboard!$C$36*13/15*(W54*Dashboard!$C$34)+Dashboard!$C$38*D54*Dashboard!$C$36*14/15*(X54*Dashboard!$C$34)</f>
        <v>409746128.69014901</v>
      </c>
      <c r="AJ20" s="69">
        <f>Dashboard!$C$35*F54*(Z54*Dashboard!$C$34)+Dashboard!$C$38*Dashboard!$C$36*F54*(Z54*Dashboard!$C$34)+Dashboard!$C$38*B54*Dashboard!$C$36*11/15*(V54*Dashboard!$C$34)+Dashboard!$C$38*C54*Dashboard!$C$36*12/15*(W54*Dashboard!$C$34)+Dashboard!$C$38*D54*Dashboard!$C$36*13/15*(X54*Dashboard!$C$34)+Dashboard!$C$38*E54*Dashboard!$C$36*14/15*(Y54*Dashboard!$C$34)</f>
        <v>401382518.65165389</v>
      </c>
      <c r="AK20" s="69">
        <f>Dashboard!$C$35*G54*(AA54*Dashboard!$C$34)+Dashboard!$C$38*Dashboard!$C$36*G54*(AA54*Dashboard!$C$34)+Dashboard!$C$38*B54*Dashboard!$C$36*10/15*(V54*Dashboard!$C$34)+Dashboard!$C$38*C54*Dashboard!$C$36*11/15*(W54*Dashboard!$C$34)+Dashboard!$C$38*D54*Dashboard!$C$36*12/15*(X54*Dashboard!$C$34)+Dashboard!$C$38*E54*Dashboard!$C$36*13/15*(Y54*Dashboard!$C$34)+Dashboard!$C$38*F54*Dashboard!$C$36*14/15*(Z54*Dashboard!$C$34)</f>
        <v>395737928.39449263</v>
      </c>
      <c r="AL20" s="69">
        <f>Dashboard!$C$35*H54*(AB54*Dashboard!$C$34)+Dashboard!$C$38*Dashboard!$C$36*H54*(AB54*Dashboard!$C$34)+Dashboard!$C$38*Dashboard!$C$36*B54*9/15*(V54*Dashboard!$C$34)+Dashboard!$C$38*C54*Dashboard!$C$36*10/15*(W54*Dashboard!$C$34)+Dashboard!$C$38*D54*Dashboard!$C$36*11/15*(X54*Dashboard!$C$34)+Dashboard!$C$38*E54*Dashboard!$C$36*12/15*(Y54*Dashboard!$C$34)+Dashboard!$C$38*F54*Dashboard!$C$36*13/15*(Z54*Dashboard!$C$34)+Dashboard!$C$38*G54*Dashboard!$C$36*14/15*(AA54*Dashboard!$C$34)</f>
        <v>390956313.48861891</v>
      </c>
      <c r="AO20" s="147"/>
      <c r="AP20" s="150" t="s">
        <v>16</v>
      </c>
      <c r="AQ20" s="258">
        <f>Tabelle8[[#This Row],[2026]]/1000000</f>
        <v>467.45740118982508</v>
      </c>
      <c r="AR20" s="258">
        <f>Tabelle8[[#This Row],[2027]]/1000000</f>
        <v>448.13886138442604</v>
      </c>
      <c r="AS20" s="258">
        <f>Tabelle8[[#This Row],[2028]]/1000000</f>
        <v>428.41244482712239</v>
      </c>
      <c r="AT20" s="258">
        <f>Tabelle8[[#This Row],[2029]]/1000000</f>
        <v>409.74612869014902</v>
      </c>
      <c r="AU20" s="258">
        <f>Tabelle8[[#This Row],[2030]]/1000000</f>
        <v>401.38251865165387</v>
      </c>
      <c r="AV20" s="258">
        <f>Tabelle8[[#This Row],[2031]]/1000000</f>
        <v>395.7379283944926</v>
      </c>
      <c r="AW20" s="258">
        <f>Tabelle8[[#This Row],[2032]]/1000000</f>
        <v>390.95631348861889</v>
      </c>
      <c r="AX20" s="69">
        <f>Tabelle8[[#This Row],[2033]]/1000000</f>
        <v>0</v>
      </c>
      <c r="AY20" s="69">
        <f>Tabelle8[[#This Row],[2034]]/1000000</f>
        <v>0</v>
      </c>
      <c r="AZ20" s="76">
        <f>Tabelle8[[#This Row],[2035]]/1000000</f>
        <v>0</v>
      </c>
      <c r="BA20" t="s">
        <v>16</v>
      </c>
      <c r="BB20" s="164">
        <f>Table211123[[#This Row],[2026]]/(Revenues!$N19*Dashboard!$E$26)</f>
        <v>0</v>
      </c>
      <c r="BC20" s="164">
        <f>Table211123[[#This Row],[2027]]/(Revenues!$N19*Dashboard!$E$26)</f>
        <v>0</v>
      </c>
      <c r="BD20" s="164">
        <f>Table211123[[#This Row],[2028]]/(Revenues!$N19*Dashboard!$E$26)</f>
        <v>70</v>
      </c>
      <c r="BE20" s="164">
        <f>Table211123[[#This Row],[2029]]/(Revenues!$N19*Dashboard!$E$26)</f>
        <v>81.80869565217391</v>
      </c>
      <c r="BF20" s="164">
        <f>Table211123[[#This Row],[2030]]/(Revenues!$N19*Dashboard!$E$26)</f>
        <v>93.8</v>
      </c>
      <c r="BG20" s="164">
        <f>Table211123[[#This Row],[2031]]/(Revenues!$N19*Dashboard!$E$26)</f>
        <v>96.417391304347802</v>
      </c>
      <c r="BH20" s="164">
        <f>Table211123[[#This Row],[2032]]/(Revenues!$N19*Dashboard!$E$26)</f>
        <v>97.147826086956513</v>
      </c>
      <c r="BI20" s="51">
        <f>SUM(Table21112321[[#This Row],[2026]:[2032]])</f>
        <v>439.17391304347825</v>
      </c>
      <c r="BJ20" s="55"/>
    </row>
    <row r="21" spans="1:62" x14ac:dyDescent="0.35">
      <c r="A21" t="s">
        <v>17</v>
      </c>
      <c r="B21" s="134">
        <f>Revenues!CG53</f>
        <v>86.041190728593421</v>
      </c>
      <c r="C21" s="69">
        <f>Revenues!CH53</f>
        <v>160.82785739526008</v>
      </c>
      <c r="D21" s="128">
        <f>Revenues!CI53</f>
        <v>172.88663902161153</v>
      </c>
      <c r="E21" s="128">
        <f>Revenues!CJ53</f>
        <v>205.4752035970763</v>
      </c>
      <c r="F21" s="128">
        <f>Revenues!CK53</f>
        <v>180.39240573584974</v>
      </c>
      <c r="G21" s="128">
        <f>Revenues!CL53</f>
        <v>176.82966772939531</v>
      </c>
      <c r="H21" s="128">
        <f>Revenues!CM53</f>
        <v>168.8172711651022</v>
      </c>
      <c r="I21" s="51">
        <f>SUM(Table21112327[[#This Row],[2026]:[2032]])</f>
        <v>1151.2702353728885</v>
      </c>
      <c r="J21" s="55"/>
      <c r="K21" t="s">
        <v>17</v>
      </c>
      <c r="L21" s="164"/>
      <c r="M21" s="128">
        <f>IF(Dashboard!$C$3=2027,Dashboard!$C$26*Revenues!$N20*Dashboard!$E$26,0)</f>
        <v>0</v>
      </c>
      <c r="N21" s="128">
        <f>IF(Dashboard!$C$3=2027,Dashboard!$C$26*Revenues!$N20*(Dashboard!$E$26-(X$39-$W$39)*2/100)*(1+(Revenues!AV$8-Revenues!$AU$8)/Revenues!$AU$8),Dashboard!$C$26*Revenues!$N20*Dashboard!$E$26)</f>
        <v>65.625</v>
      </c>
      <c r="O21" s="128">
        <f>IF(Dashboard!$C$3=2027,Dashboard!$C$26*Revenues!$N20*(Dashboard!$E$26-(Y$39-$W$39)*2/100)*(1+(Revenues!AW$8-Revenues!$AU$8)/Revenues!$AU$8),Dashboard!$C$26*Revenues!$N20*(Dashboard!$E$26-(Y$39-$X$39)*2/100)*(1+(Revenues!AW$8-Revenues!$AV$8)/Revenues!$AV$8))</f>
        <v>76.695652173913047</v>
      </c>
      <c r="P21" s="128">
        <f>IF(Dashboard!$C$3=2027,Dashboard!$C$26*Revenues!$N20*(Dashboard!$E$26-(Z$39-$W$39)*2/100)*(1+(Revenues!AX$8-Revenues!$AU$8)/Revenues!$AU$8),Dashboard!$C$26*Revenues!$N20*(Dashboard!$E$26-(Z$39-$X$39)*2/100)*(1+(Revenues!AX$8-Revenues!$AV$8)/Revenues!$AV$8))</f>
        <v>87.9375</v>
      </c>
      <c r="Q21" s="128">
        <f>IF(Dashboard!$C$3=2027,Dashboard!$C$26*Revenues!$N20*(Dashboard!$E$26-(AA$39-$W$39)*2/100)*(1+(Revenues!AY$8-Revenues!$AU$8)/Revenues!$AU$8),Dashboard!$C$26*Revenues!$N20*(Dashboard!$E$26-(AA$39-$X$39)*2/100)*(1+(Revenues!AY$8-Revenues!$AV$8)/Revenues!$AV$8))</f>
        <v>90.391304347826079</v>
      </c>
      <c r="R21" s="128">
        <f>IF(Dashboard!$C$3=2027,Dashboard!$C$26*Revenues!$N20*(Dashboard!$E$26-(AB$39-$W$39)*2/100)*(1+(Revenues!AZ$8-Revenues!$AU$8)/Revenues!$AU$8),Dashboard!$C$26*Revenues!$N20*(Dashboard!$E$26-(AB$39-$X$39)*2/100)*(1+(Revenues!AZ$8-Revenues!$AV$8)/Revenues!$AV$8))</f>
        <v>91.076086956521735</v>
      </c>
      <c r="S21" s="51">
        <f>SUM(Table211123[[#This Row],[2026]:[2032]])</f>
        <v>411.72554347826087</v>
      </c>
      <c r="T21" s="55"/>
      <c r="U21" t="s">
        <v>17</v>
      </c>
      <c r="V21" s="132">
        <f>Dashboard!$C$28*Revenues!$N20*($AC$3+12*($AC$2-$AC$4))</f>
        <v>50.625</v>
      </c>
      <c r="W21" s="132">
        <f>Dashboard!$C$28*Revenues!$N20*($AC$3+12*($AC$2-$AC$4)*(1+W$3))</f>
        <v>73.125</v>
      </c>
      <c r="X21" s="69">
        <f>Dashboard!$C$28*Revenues!$N20*($AC$3+12*($AC$2-$AC$4)*(1+X$3))</f>
        <v>84.375</v>
      </c>
      <c r="Y21" s="69">
        <f>Dashboard!$C$28*Revenues!$N20*($AC$3+12*($AC$2-$AC$4)*(1+Y$3))</f>
        <v>84.375</v>
      </c>
      <c r="Z21" s="69">
        <f>Dashboard!$C$28*Revenues!$N20*($AC$3+12*($AC$2-$AC$4)*(1+Z$3))</f>
        <v>84.375</v>
      </c>
      <c r="AA21" s="69">
        <f>Dashboard!$C$28*Revenues!$N20*($AC$3+12*($AC$2-$AC$4)*(1+AA$3))</f>
        <v>84.375</v>
      </c>
      <c r="AB21" s="69">
        <f>Dashboard!$C$28*Revenues!$N20*($AC$3+12*($AC$2-$AC$4)*(1+AB$3))</f>
        <v>84.375</v>
      </c>
      <c r="AC21" s="51">
        <f>SUM(Table21112325[[#This Row],[2026]:[2032]])</f>
        <v>545.625</v>
      </c>
      <c r="AD21" s="55"/>
      <c r="AE21" s="150" t="s">
        <v>17</v>
      </c>
      <c r="AF21" s="69">
        <f>Dashboard!$C$35*B55*(V55*Dashboard!$C$34)+Dashboard!$C$38*Dashboard!$C$36*B55*(V55*Dashboard!$C$34)</f>
        <v>5067543.6567788729</v>
      </c>
      <c r="AG21" s="69">
        <f>Dashboard!$C$35*C55*(W55*Dashboard!$C$34)+Dashboard!$C$38*Dashboard!$C$36*C55*(W55*Dashboard!$C$34)+Dashboard!$C$38*B55*Dashboard!$C$36*14/15*(V55*Dashboard!$C$34)</f>
        <v>4819142.1344106905</v>
      </c>
      <c r="AH21" s="69">
        <f>Dashboard!$C$35*D55*(X55*Dashboard!$C$34)+Dashboard!$C$38*Dashboard!$C$36*D55*(X55*Dashboard!$C$34)+Dashboard!$C$38*B55*Dashboard!$C$36*13/15*(V55*Dashboard!$C$34)+Dashboard!$C$38*C55*Dashboard!$C$36*14/15*(W55*Dashboard!$C$34)</f>
        <v>4594989.0015630173</v>
      </c>
      <c r="AI21" s="69">
        <f>Dashboard!$C$35*E55*(Y55*Dashboard!$C$34)+Dashboard!$C$38*Dashboard!$C$36*E55*(Y55*Dashboard!$C$34)+Dashboard!$C$38*B55*Dashboard!$C$36*12/15*(V55*Dashboard!$C$34)+Dashboard!$C$38*C55*Dashboard!$C$36*13/15*(W55*Dashboard!$C$34)+Dashboard!$C$38*D55*Dashboard!$C$36*14/15*(X55*Dashboard!$C$34)</f>
        <v>4458845.3117397558</v>
      </c>
      <c r="AJ21" s="69">
        <f>Dashboard!$C$35*F55*(Z55*Dashboard!$C$34)+Dashboard!$C$38*Dashboard!$C$36*F55*(Z55*Dashboard!$C$34)+Dashboard!$C$38*B55*Dashboard!$C$36*11/15*(V55*Dashboard!$C$34)+Dashboard!$C$38*C55*Dashboard!$C$36*12/15*(W55*Dashboard!$C$34)+Dashboard!$C$38*D55*Dashboard!$C$36*13/15*(X55*Dashboard!$C$34)+Dashboard!$C$38*E55*Dashboard!$C$36*14/15*(Y55*Dashboard!$C$34)</f>
        <v>4411416.1628539646</v>
      </c>
      <c r="AK21" s="69">
        <f>Dashboard!$C$35*G55*(AA55*Dashboard!$C$34)+Dashboard!$C$38*Dashboard!$C$36*G55*(AA55*Dashboard!$C$34)+Dashboard!$C$38*B55*Dashboard!$C$36*10/15*(V55*Dashboard!$C$34)+Dashboard!$C$38*C55*Dashboard!$C$36*11/15*(W55*Dashboard!$C$34)+Dashboard!$C$38*D55*Dashboard!$C$36*12/15*(X55*Dashboard!$C$34)+Dashboard!$C$38*E55*Dashboard!$C$36*13/15*(Y55*Dashboard!$C$34)+Dashboard!$C$38*F55*Dashboard!$C$36*14/15*(Z55*Dashboard!$C$34)</f>
        <v>4360602.3447032254</v>
      </c>
      <c r="AL21" s="69">
        <f>Dashboard!$C$35*H55*(AB55*Dashboard!$C$34)+Dashboard!$C$38*Dashboard!$C$36*H55*(AB55*Dashboard!$C$34)+Dashboard!$C$38*Dashboard!$C$36*B55*9/15*(V55*Dashboard!$C$34)+Dashboard!$C$38*C55*Dashboard!$C$36*10/15*(W55*Dashboard!$C$34)+Dashboard!$C$38*D55*Dashboard!$C$36*11/15*(X55*Dashboard!$C$34)+Dashboard!$C$38*E55*Dashboard!$C$36*12/15*(Y55*Dashboard!$C$34)+Dashboard!$C$38*F55*Dashboard!$C$36*13/15*(Z55*Dashboard!$C$34)+Dashboard!$C$38*G55*Dashboard!$C$36*14/15*(AA55*Dashboard!$C$34)</f>
        <v>4309596.3069707798</v>
      </c>
      <c r="AO21" s="147"/>
      <c r="AP21" s="150" t="s">
        <v>17</v>
      </c>
      <c r="AQ21" s="258">
        <f>Tabelle8[[#This Row],[2026]]/1000000</f>
        <v>5.0675436567788728</v>
      </c>
      <c r="AR21" s="258">
        <f>Tabelle8[[#This Row],[2027]]/1000000</f>
        <v>4.8191421344106908</v>
      </c>
      <c r="AS21" s="258">
        <f>Tabelle8[[#This Row],[2028]]/1000000</f>
        <v>4.5949890015630173</v>
      </c>
      <c r="AT21" s="258">
        <f>Tabelle8[[#This Row],[2029]]/1000000</f>
        <v>4.458845311739756</v>
      </c>
      <c r="AU21" s="258">
        <f>Tabelle8[[#This Row],[2030]]/1000000</f>
        <v>4.411416162853965</v>
      </c>
      <c r="AV21" s="258">
        <f>Tabelle8[[#This Row],[2031]]/1000000</f>
        <v>4.3606023447032252</v>
      </c>
      <c r="AW21" s="258">
        <f>Tabelle8[[#This Row],[2032]]/1000000</f>
        <v>4.3095963069707794</v>
      </c>
      <c r="AX21" s="69">
        <f>Tabelle8[[#This Row],[2033]]/1000000</f>
        <v>0</v>
      </c>
      <c r="AY21" s="69">
        <f>Tabelle8[[#This Row],[2034]]/1000000</f>
        <v>0</v>
      </c>
      <c r="AZ21" s="76">
        <f>Tabelle8[[#This Row],[2035]]/1000000</f>
        <v>0</v>
      </c>
      <c r="BA21" t="s">
        <v>17</v>
      </c>
      <c r="BB21" s="164">
        <f>Table211123[[#This Row],[2026]]/(Revenues!$N20*Dashboard!$E$26)</f>
        <v>0</v>
      </c>
      <c r="BC21" s="164">
        <f>Table211123[[#This Row],[2027]]/(Revenues!$N20*Dashboard!$E$26)</f>
        <v>0</v>
      </c>
      <c r="BD21" s="164">
        <f>Table211123[[#This Row],[2028]]/(Revenues!$N20*Dashboard!$E$26)</f>
        <v>70</v>
      </c>
      <c r="BE21" s="164">
        <f>Table211123[[#This Row],[2029]]/(Revenues!$N20*Dashboard!$E$26)</f>
        <v>81.80869565217391</v>
      </c>
      <c r="BF21" s="164">
        <f>Table211123[[#This Row],[2030]]/(Revenues!$N20*Dashboard!$E$26)</f>
        <v>93.8</v>
      </c>
      <c r="BG21" s="164">
        <f>Table211123[[#This Row],[2031]]/(Revenues!$N20*Dashboard!$E$26)</f>
        <v>96.417391304347817</v>
      </c>
      <c r="BH21" s="164">
        <f>Table211123[[#This Row],[2032]]/(Revenues!$N20*Dashboard!$E$26)</f>
        <v>97.147826086956513</v>
      </c>
      <c r="BI21" s="51">
        <f>SUM(Table21112321[[#This Row],[2026]:[2032]])</f>
        <v>439.17391304347825</v>
      </c>
      <c r="BJ21" s="55"/>
    </row>
    <row r="22" spans="1:62" x14ac:dyDescent="0.35">
      <c r="A22" t="s">
        <v>18</v>
      </c>
      <c r="B22" s="134">
        <f>Revenues!CG54</f>
        <v>137.28775151908243</v>
      </c>
      <c r="C22" s="69">
        <f>Revenues!CH54</f>
        <v>244.72775151908246</v>
      </c>
      <c r="D22" s="128">
        <f>Revenues!CI54</f>
        <v>271.70938907065658</v>
      </c>
      <c r="E22" s="128">
        <f>Revenues!CJ54</f>
        <v>326.59760111486651</v>
      </c>
      <c r="F22" s="128">
        <f>Revenues!CK54</f>
        <v>284.94755608594386</v>
      </c>
      <c r="G22" s="128">
        <f>Revenues!CL54</f>
        <v>279.48924218903568</v>
      </c>
      <c r="H22" s="128">
        <f>Revenues!CM54</f>
        <v>266.75097354216513</v>
      </c>
      <c r="I22" s="51">
        <f>SUM(Table21112327[[#This Row],[2026]:[2032]])</f>
        <v>1811.5102650408326</v>
      </c>
      <c r="J22" s="55"/>
      <c r="K22" t="s">
        <v>18</v>
      </c>
      <c r="L22" s="164"/>
      <c r="M22" s="128">
        <f>IF(Dashboard!$C$3=2027,Dashboard!$C$26*Revenues!$N21*Dashboard!$E$26,0)</f>
        <v>0</v>
      </c>
      <c r="N22" s="128">
        <f>IF(Dashboard!$C$3=2027,Dashboard!$C$26*Revenues!$N21*(Dashboard!$E$26-(X$39-$W$39)*2/100)*(1+(Revenues!AV$8-Revenues!$AU$8)/Revenues!$AU$8),Dashboard!$C$26*Revenues!$N21*Dashboard!$E$26)</f>
        <v>101.01</v>
      </c>
      <c r="O22" s="128">
        <f>IF(Dashboard!$C$3=2027,Dashboard!$C$26*Revenues!$N21*(Dashboard!$E$26-(Y$39-$W$39)*2/100)*(1+(Revenues!AW$8-Revenues!$AU$8)/Revenues!$AU$8),Dashboard!$C$26*Revenues!$N21*(Dashboard!$E$26-(Y$39-$X$39)*2/100)*(1+(Revenues!AW$8-Revenues!$AV$8)/Revenues!$AV$8))</f>
        <v>118.04994782608696</v>
      </c>
      <c r="P22" s="128">
        <f>IF(Dashboard!$C$3=2027,Dashboard!$C$26*Revenues!$N21*(Dashboard!$E$26-(Z$39-$W$39)*2/100)*(1+(Revenues!AX$8-Revenues!$AU$8)/Revenues!$AU$8),Dashboard!$C$26*Revenues!$N21*(Dashboard!$E$26-(Z$39-$X$39)*2/100)*(1+(Revenues!AX$8-Revenues!$AV$8)/Revenues!$AV$8))</f>
        <v>135.35340000000002</v>
      </c>
      <c r="Q22" s="128">
        <f>IF(Dashboard!$C$3=2027,Dashboard!$C$26*Revenues!$N21*(Dashboard!$E$26-(AA$39-$W$39)*2/100)*(1+(Revenues!AY$8-Revenues!$AU$8)/Revenues!$AU$8),Dashboard!$C$26*Revenues!$N21*(Dashboard!$E$26-(AA$39-$X$39)*2/100)*(1+(Revenues!AY$8-Revenues!$AV$8)/Revenues!$AV$8))</f>
        <v>139.13029565217391</v>
      </c>
      <c r="R22" s="128">
        <f>IF(Dashboard!$C$3=2027,Dashboard!$C$26*Revenues!$N21*(Dashboard!$E$26-(AB$39-$W$39)*2/100)*(1+(Revenues!AZ$8-Revenues!$AU$8)/Revenues!$AU$8),Dashboard!$C$26*Revenues!$N21*(Dashboard!$E$26-(AB$39-$X$39)*2/100)*(1+(Revenues!AZ$8-Revenues!$AV$8)/Revenues!$AV$8))</f>
        <v>140.18431304347826</v>
      </c>
      <c r="S22" s="51">
        <f>SUM(Table211123[[#This Row],[2026]:[2032]])</f>
        <v>633.72795652173909</v>
      </c>
      <c r="T22" s="55"/>
      <c r="U22" t="s">
        <v>18</v>
      </c>
      <c r="V22" s="132">
        <f>Dashboard!$C$28*Revenues!$N21*($AC$3+12*($AC$2-$AC$4))</f>
        <v>77.921999999999997</v>
      </c>
      <c r="W22" s="132">
        <f>Dashboard!$C$28*Revenues!$N21*($AC$3+12*($AC$2-$AC$4)*(1+W$3))</f>
        <v>112.554</v>
      </c>
      <c r="X22" s="69">
        <f>Dashboard!$C$28*Revenues!$N21*($AC$3+12*($AC$2-$AC$4)*(1+X$3))</f>
        <v>129.87</v>
      </c>
      <c r="Y22" s="69">
        <f>Dashboard!$C$28*Revenues!$N21*($AC$3+12*($AC$2-$AC$4)*(1+Y$3))</f>
        <v>129.87</v>
      </c>
      <c r="Z22" s="69">
        <f>Dashboard!$C$28*Revenues!$N21*($AC$3+12*($AC$2-$AC$4)*(1+Z$3))</f>
        <v>129.87</v>
      </c>
      <c r="AA22" s="69">
        <f>Dashboard!$C$28*Revenues!$N21*($AC$3+12*($AC$2-$AC$4)*(1+AA$3))</f>
        <v>129.87</v>
      </c>
      <c r="AB22" s="69">
        <f>Dashboard!$C$28*Revenues!$N21*($AC$3+12*($AC$2-$AC$4)*(1+AB$3))</f>
        <v>129.87</v>
      </c>
      <c r="AC22" s="51">
        <f>SUM(Table21112325[[#This Row],[2026]:[2032]])</f>
        <v>839.82600000000002</v>
      </c>
      <c r="AD22" s="55"/>
      <c r="AE22" s="150" t="s">
        <v>18</v>
      </c>
      <c r="AF22" s="69">
        <f>Dashboard!$C$35*B56*(V56*Dashboard!$C$34)+Dashboard!$C$38*Dashboard!$C$36*B56*(V56*Dashboard!$C$34)</f>
        <v>7868028.3092093021</v>
      </c>
      <c r="AG22" s="69">
        <f>Dashboard!$C$35*C56*(W56*Dashboard!$C$34)+Dashboard!$C$38*Dashboard!$C$36*C56*(W56*Dashboard!$C$34)+Dashboard!$C$38*B56*Dashboard!$C$36*14/15*(V56*Dashboard!$C$34)</f>
        <v>7482352.2613218604</v>
      </c>
      <c r="AH22" s="69">
        <f>Dashboard!$C$35*D56*(X56*Dashboard!$C$34)+Dashboard!$C$38*Dashboard!$C$36*D56*(X56*Dashboard!$C$34)+Dashboard!$C$38*B56*Dashboard!$C$36*13/15*(V56*Dashboard!$C$34)+Dashboard!$C$38*C56*Dashboard!$C$36*14/15*(W56*Dashboard!$C$34)</f>
        <v>7134325.0287425797</v>
      </c>
      <c r="AI22" s="69">
        <f>Dashboard!$C$35*E56*(Y56*Dashboard!$C$34)+Dashboard!$C$38*Dashboard!$C$36*E56*(Y56*Dashboard!$C$34)+Dashboard!$C$38*B56*Dashboard!$C$36*12/15*(V56*Dashboard!$C$34)+Dashboard!$C$38*C56*Dashboard!$C$36*13/15*(W56*Dashboard!$C$34)+Dashboard!$C$38*D56*Dashboard!$C$36*14/15*(X56*Dashboard!$C$34)</f>
        <v>6922944.0366485678</v>
      </c>
      <c r="AJ22" s="69">
        <f>Dashboard!$C$35*F56*(Z56*Dashboard!$C$34)+Dashboard!$C$38*Dashboard!$C$36*F56*(Z56*Dashboard!$C$34)+Dashboard!$C$38*B56*Dashboard!$C$36*11/15*(V56*Dashboard!$C$34)+Dashboard!$C$38*C56*Dashboard!$C$36*12/15*(W56*Dashboard!$C$34)+Dashboard!$C$38*D56*Dashboard!$C$36*13/15*(X56*Dashboard!$C$34)+Dashboard!$C$38*E56*Dashboard!$C$36*14/15*(Y56*Dashboard!$C$34)</f>
        <v>6849304.0423258925</v>
      </c>
      <c r="AK22" s="69">
        <f>Dashboard!$C$35*G56*(AA56*Dashboard!$C$34)+Dashboard!$C$38*Dashboard!$C$36*G56*(AA56*Dashboard!$C$34)+Dashboard!$C$38*B56*Dashboard!$C$36*10/15*(V56*Dashboard!$C$34)+Dashboard!$C$38*C56*Dashboard!$C$36*11/15*(W56*Dashboard!$C$34)+Dashboard!$C$38*D56*Dashboard!$C$36*12/15*(X56*Dashboard!$C$34)+Dashboard!$C$38*E56*Dashboard!$C$36*13/15*(Y56*Dashboard!$C$34)+Dashboard!$C$38*F56*Dashboard!$C$36*14/15*(Z56*Dashboard!$C$34)</f>
        <v>6770408.9036181662</v>
      </c>
      <c r="AL22" s="69">
        <f>Dashboard!$C$35*H56*(AB56*Dashboard!$C$34)+Dashboard!$C$38*Dashboard!$C$36*H56*(AB56*Dashboard!$C$34)+Dashboard!$C$38*Dashboard!$C$36*B56*9/15*(V56*Dashboard!$C$34)+Dashboard!$C$38*C56*Dashboard!$C$36*10/15*(W56*Dashboard!$C$34)+Dashboard!$C$38*D56*Dashboard!$C$36*11/15*(X56*Dashboard!$C$34)+Dashboard!$C$38*E56*Dashboard!$C$36*12/15*(Y56*Dashboard!$C$34)+Dashboard!$C$38*F56*Dashboard!$C$36*13/15*(Z56*Dashboard!$C$34)+Dashboard!$C$38*G56*Dashboard!$C$36*14/15*(AA56*Dashboard!$C$34)</f>
        <v>6691215.3187177898</v>
      </c>
      <c r="AO22" s="147"/>
      <c r="AP22" s="150" t="s">
        <v>18</v>
      </c>
      <c r="AQ22" s="258">
        <f>Tabelle8[[#This Row],[2026]]/1000000</f>
        <v>7.8680283092093024</v>
      </c>
      <c r="AR22" s="258">
        <f>Tabelle8[[#This Row],[2027]]/1000000</f>
        <v>7.4823522613218607</v>
      </c>
      <c r="AS22" s="258">
        <f>Tabelle8[[#This Row],[2028]]/1000000</f>
        <v>7.1343250287425795</v>
      </c>
      <c r="AT22" s="258">
        <f>Tabelle8[[#This Row],[2029]]/1000000</f>
        <v>6.9229440366485679</v>
      </c>
      <c r="AU22" s="258">
        <f>Tabelle8[[#This Row],[2030]]/1000000</f>
        <v>6.8493040423258922</v>
      </c>
      <c r="AV22" s="258">
        <f>Tabelle8[[#This Row],[2031]]/1000000</f>
        <v>6.7704089036181658</v>
      </c>
      <c r="AW22" s="258">
        <f>Tabelle8[[#This Row],[2032]]/1000000</f>
        <v>6.6912153187177896</v>
      </c>
      <c r="AX22" s="69">
        <f>Tabelle8[[#This Row],[2033]]/1000000</f>
        <v>0</v>
      </c>
      <c r="AY22" s="69">
        <f>Tabelle8[[#This Row],[2034]]/1000000</f>
        <v>0</v>
      </c>
      <c r="AZ22" s="76">
        <f>Tabelle8[[#This Row],[2035]]/1000000</f>
        <v>0</v>
      </c>
      <c r="BA22" t="s">
        <v>18</v>
      </c>
      <c r="BB22" s="164">
        <f>Table211123[[#This Row],[2026]]/(Revenues!$N21*Dashboard!$E$26)</f>
        <v>0</v>
      </c>
      <c r="BC22" s="164">
        <f>Table211123[[#This Row],[2027]]/(Revenues!$N21*Dashboard!$E$26)</f>
        <v>0</v>
      </c>
      <c r="BD22" s="164">
        <f>Table211123[[#This Row],[2028]]/(Revenues!$N21*Dashboard!$E$26)</f>
        <v>70</v>
      </c>
      <c r="BE22" s="164">
        <f>Table211123[[#This Row],[2029]]/(Revenues!$N21*Dashboard!$E$26)</f>
        <v>81.80869565217391</v>
      </c>
      <c r="BF22" s="164">
        <f>Table211123[[#This Row],[2030]]/(Revenues!$N21*Dashboard!$E$26)</f>
        <v>93.800000000000011</v>
      </c>
      <c r="BG22" s="164">
        <f>Table211123[[#This Row],[2031]]/(Revenues!$N21*Dashboard!$E$26)</f>
        <v>96.417391304347817</v>
      </c>
      <c r="BH22" s="164">
        <f>Table211123[[#This Row],[2032]]/(Revenues!$N21*Dashboard!$E$26)</f>
        <v>97.147826086956513</v>
      </c>
      <c r="BI22" s="51">
        <f>SUM(Table21112321[[#This Row],[2026]:[2032]])</f>
        <v>439.17391304347825</v>
      </c>
      <c r="BJ22" s="55"/>
    </row>
    <row r="23" spans="1:62" x14ac:dyDescent="0.35">
      <c r="A23" t="s">
        <v>19</v>
      </c>
      <c r="B23" s="134">
        <f>Revenues!CG55</f>
        <v>103.45790708504438</v>
      </c>
      <c r="C23" s="69">
        <f>Revenues!CH55</f>
        <v>113.99124041837771</v>
      </c>
      <c r="D23" s="128">
        <f>Revenues!CI55</f>
        <v>180.17651402134129</v>
      </c>
      <c r="E23" s="128">
        <f>Revenues!CJ55</f>
        <v>238.65713135224644</v>
      </c>
      <c r="F23" s="128">
        <f>Revenues!CK55</f>
        <v>197.62778134566145</v>
      </c>
      <c r="G23" s="128">
        <f>Revenues!CL55</f>
        <v>194.85564082042296</v>
      </c>
      <c r="H23" s="128">
        <f>Revenues!CM55</f>
        <v>185.53084710266802</v>
      </c>
      <c r="I23" s="51">
        <f>SUM(Table21112327[[#This Row],[2026]:[2032]])</f>
        <v>1214.2970621457623</v>
      </c>
      <c r="J23" s="55"/>
      <c r="K23" t="s">
        <v>19</v>
      </c>
      <c r="L23" s="164"/>
      <c r="M23" s="128">
        <f>IF(Dashboard!$C$3=2027,Dashboard!$C$26*Revenues!$N22*Dashboard!$E$26,0)</f>
        <v>0</v>
      </c>
      <c r="N23" s="128">
        <f>IF(Dashboard!$C$3=2027,Dashboard!$C$26*Revenues!$N22*(Dashboard!$E$26-(X$39-$W$39)*2/100)*(1+(Revenues!AV$8-Revenues!$AU$8)/Revenues!$AU$8),Dashboard!$C$26*Revenues!$N22*Dashboard!$E$26)</f>
        <v>23.135000000000002</v>
      </c>
      <c r="O23" s="128">
        <f>IF(Dashboard!$C$3=2027,Dashboard!$C$26*Revenues!$N22*(Dashboard!$E$26-(Y$39-$W$39)*2/100)*(1+(Revenues!AW$8-Revenues!$AU$8)/Revenues!$AU$8),Dashboard!$C$26*Revenues!$N22*(Dashboard!$E$26-(Y$39-$X$39)*2/100)*(1+(Revenues!AW$8-Revenues!$AV$8)/Revenues!$AV$8))</f>
        <v>27.03777391304348</v>
      </c>
      <c r="P23" s="128">
        <f>IF(Dashboard!$C$3=2027,Dashboard!$C$26*Revenues!$N22*(Dashboard!$E$26-(Z$39-$W$39)*2/100)*(1+(Revenues!AX$8-Revenues!$AU$8)/Revenues!$AU$8),Dashboard!$C$26*Revenues!$N22*(Dashboard!$E$26-(Z$39-$X$39)*2/100)*(1+(Revenues!AX$8-Revenues!$AV$8)/Revenues!$AV$8))</f>
        <v>31.000900000000005</v>
      </c>
      <c r="Q23" s="128">
        <f>IF(Dashboard!$C$3=2027,Dashboard!$C$26*Revenues!$N22*(Dashboard!$E$26-(AA$39-$W$39)*2/100)*(1+(Revenues!AY$8-Revenues!$AU$8)/Revenues!$AU$8),Dashboard!$C$26*Revenues!$N22*(Dashboard!$E$26-(AA$39-$X$39)*2/100)*(1+(Revenues!AY$8-Revenues!$AV$8)/Revenues!$AV$8))</f>
        <v>31.865947826086956</v>
      </c>
      <c r="R23" s="128">
        <f>IF(Dashboard!$C$3=2027,Dashboard!$C$26*Revenues!$N22*(Dashboard!$E$26-(AB$39-$W$39)*2/100)*(1+(Revenues!AZ$8-Revenues!$AU$8)/Revenues!$AU$8),Dashboard!$C$26*Revenues!$N22*(Dashboard!$E$26-(AB$39-$X$39)*2/100)*(1+(Revenues!AZ$8-Revenues!$AV$8)/Revenues!$AV$8))</f>
        <v>32.107356521739128</v>
      </c>
      <c r="S23" s="51">
        <f>SUM(Table211123[[#This Row],[2026]:[2032]])</f>
        <v>145.14697826086956</v>
      </c>
      <c r="T23" s="55"/>
      <c r="U23" t="s">
        <v>19</v>
      </c>
      <c r="V23" s="132">
        <f>Dashboard!$C$28*Revenues!$N22*($AC$3+12*($AC$2-$AC$4))</f>
        <v>17.847000000000001</v>
      </c>
      <c r="W23" s="132">
        <f>Dashboard!$C$28*Revenues!$N22*($AC$3+12*($AC$2-$AC$4)*(1+W$3))</f>
        <v>25.779</v>
      </c>
      <c r="X23" s="69">
        <f>Dashboard!$C$28*Revenues!$N22*($AC$3+12*($AC$2-$AC$4)*(1+X$3))</f>
        <v>29.745000000000001</v>
      </c>
      <c r="Y23" s="69">
        <f>Dashboard!$C$28*Revenues!$N22*($AC$3+12*($AC$2-$AC$4)*(1+Y$3))</f>
        <v>29.745000000000001</v>
      </c>
      <c r="Z23" s="69">
        <f>Dashboard!$C$28*Revenues!$N22*($AC$3+12*($AC$2-$AC$4)*(1+Z$3))</f>
        <v>29.745000000000001</v>
      </c>
      <c r="AA23" s="69">
        <f>Dashboard!$C$28*Revenues!$N22*($AC$3+12*($AC$2-$AC$4)*(1+AA$3))</f>
        <v>29.745000000000001</v>
      </c>
      <c r="AB23" s="69">
        <f>Dashboard!$C$28*Revenues!$N22*($AC$3+12*($AC$2-$AC$4)*(1+AB$3))</f>
        <v>29.745000000000001</v>
      </c>
      <c r="AC23" s="51">
        <f>SUM(Table21112325[[#This Row],[2026]:[2032]])</f>
        <v>192.35100000000003</v>
      </c>
      <c r="AD23" s="55"/>
      <c r="AE23" s="150" t="s">
        <v>19</v>
      </c>
      <c r="AF23" s="69">
        <f>Dashboard!$C$35*B57*(V57*Dashboard!$C$34)+Dashboard!$C$38*Dashboard!$C$36*B57*(V57*Dashboard!$C$34)</f>
        <v>2969076.031126658</v>
      </c>
      <c r="AG23" s="69">
        <f>Dashboard!$C$35*C57*(W57*Dashboard!$C$34)+Dashboard!$C$38*Dashboard!$C$36*C57*(W57*Dashboard!$C$34)+Dashboard!$C$38*B57*Dashboard!$C$36*14/15*(V57*Dashboard!$C$34)</f>
        <v>2823537.4712028271</v>
      </c>
      <c r="AH23" s="69">
        <f>Dashboard!$C$35*D57*(X57*Dashboard!$C$34)+Dashboard!$C$38*Dashboard!$C$36*D57*(X57*Dashboard!$C$34)+Dashboard!$C$38*B57*Dashboard!$C$36*13/15*(V57*Dashboard!$C$34)+Dashboard!$C$38*C57*Dashboard!$C$36*14/15*(W57*Dashboard!$C$34)</f>
        <v>2692206.053238682</v>
      </c>
      <c r="AI23" s="69">
        <f>Dashboard!$C$35*E57*(Y57*Dashboard!$C$34)+Dashboard!$C$38*Dashboard!$C$36*E57*(Y57*Dashboard!$C$34)+Dashboard!$C$38*B57*Dashboard!$C$36*12/15*(V57*Dashboard!$C$34)+Dashboard!$C$38*C57*Dashboard!$C$36*13/15*(W57*Dashboard!$C$34)+Dashboard!$C$38*D57*Dashboard!$C$36*14/15*(X57*Dashboard!$C$34)</f>
        <v>2612439.4061960536</v>
      </c>
      <c r="AJ23" s="69">
        <f>Dashboard!$C$35*F57*(Z57*Dashboard!$C$34)+Dashboard!$C$38*Dashboard!$C$36*F57*(Z57*Dashboard!$C$34)+Dashboard!$C$38*B57*Dashboard!$C$36*11/15*(V57*Dashboard!$C$34)+Dashboard!$C$38*C57*Dashboard!$C$36*12/15*(W57*Dashboard!$C$34)+Dashboard!$C$38*D57*Dashboard!$C$36*13/15*(X57*Dashboard!$C$34)+Dashboard!$C$38*E57*Dashboard!$C$36*14/15*(Y57*Dashboard!$C$34)</f>
        <v>2582320.8334773318</v>
      </c>
      <c r="AK23" s="69">
        <f>Dashboard!$C$35*G57*(AA57*Dashboard!$C$34)+Dashboard!$C$38*Dashboard!$C$36*G57*(AA57*Dashboard!$C$34)+Dashboard!$C$38*B57*Dashboard!$C$36*10/15*(V57*Dashboard!$C$34)+Dashboard!$C$38*C57*Dashboard!$C$36*11/15*(W57*Dashboard!$C$34)+Dashboard!$C$38*D57*Dashboard!$C$36*12/15*(X57*Dashboard!$C$34)+Dashboard!$C$38*E57*Dashboard!$C$36*13/15*(Y57*Dashboard!$C$34)+Dashboard!$C$38*F57*Dashboard!$C$36*14/15*(Z57*Dashboard!$C$34)</f>
        <v>2550183.5016466342</v>
      </c>
      <c r="AL23" s="69">
        <f>Dashboard!$C$35*H57*(AB57*Dashboard!$C$34)+Dashboard!$C$38*Dashboard!$C$36*H57*(AB57*Dashboard!$C$34)+Dashboard!$C$38*Dashboard!$C$36*B57*9/15*(V57*Dashboard!$C$34)+Dashboard!$C$38*C57*Dashboard!$C$36*10/15*(W57*Dashboard!$C$34)+Dashboard!$C$38*D57*Dashboard!$C$36*11/15*(X57*Dashboard!$C$34)+Dashboard!$C$38*E57*Dashboard!$C$36*12/15*(Y57*Dashboard!$C$34)+Dashboard!$C$38*F57*Dashboard!$C$36*13/15*(Z57*Dashboard!$C$34)+Dashboard!$C$38*G57*Dashboard!$C$36*14/15*(AA57*Dashboard!$C$34)</f>
        <v>2518010.4679765385</v>
      </c>
      <c r="AO23" s="147"/>
      <c r="AP23" s="150" t="s">
        <v>19</v>
      </c>
      <c r="AQ23" s="258">
        <f>Tabelle8[[#This Row],[2026]]/1000000</f>
        <v>2.969076031126658</v>
      </c>
      <c r="AR23" s="258">
        <f>Tabelle8[[#This Row],[2027]]/1000000</f>
        <v>2.8235374712028269</v>
      </c>
      <c r="AS23" s="258">
        <f>Tabelle8[[#This Row],[2028]]/1000000</f>
        <v>2.692206053238682</v>
      </c>
      <c r="AT23" s="258">
        <f>Tabelle8[[#This Row],[2029]]/1000000</f>
        <v>2.6124394061960534</v>
      </c>
      <c r="AU23" s="258">
        <f>Tabelle8[[#This Row],[2030]]/1000000</f>
        <v>2.5823208334773318</v>
      </c>
      <c r="AV23" s="258">
        <f>Tabelle8[[#This Row],[2031]]/1000000</f>
        <v>2.5501835016466341</v>
      </c>
      <c r="AW23" s="258">
        <f>Tabelle8[[#This Row],[2032]]/1000000</f>
        <v>2.5180104679765383</v>
      </c>
      <c r="AX23" s="69">
        <f>Tabelle8[[#This Row],[2033]]/1000000</f>
        <v>0</v>
      </c>
      <c r="AY23" s="69">
        <f>Tabelle8[[#This Row],[2034]]/1000000</f>
        <v>0</v>
      </c>
      <c r="AZ23" s="76">
        <f>Tabelle8[[#This Row],[2035]]/1000000</f>
        <v>0</v>
      </c>
      <c r="BA23" t="s">
        <v>19</v>
      </c>
      <c r="BB23" s="164">
        <f>Table211123[[#This Row],[2026]]/(Revenues!$N22*Dashboard!$E$26)</f>
        <v>0</v>
      </c>
      <c r="BC23" s="164">
        <f>Table211123[[#This Row],[2027]]/(Revenues!$N22*Dashboard!$E$26)</f>
        <v>0</v>
      </c>
      <c r="BD23" s="164">
        <f>Table211123[[#This Row],[2028]]/(Revenues!$N22*Dashboard!$E$26)</f>
        <v>70</v>
      </c>
      <c r="BE23" s="164">
        <f>Table211123[[#This Row],[2029]]/(Revenues!$N22*Dashboard!$E$26)</f>
        <v>81.80869565217391</v>
      </c>
      <c r="BF23" s="164">
        <f>Table211123[[#This Row],[2030]]/(Revenues!$N22*Dashboard!$E$26)</f>
        <v>93.800000000000011</v>
      </c>
      <c r="BG23" s="164">
        <f>Table211123[[#This Row],[2031]]/(Revenues!$N22*Dashboard!$E$26)</f>
        <v>96.417391304347817</v>
      </c>
      <c r="BH23" s="164">
        <f>Table211123[[#This Row],[2032]]/(Revenues!$N22*Dashboard!$E$26)</f>
        <v>97.147826086956513</v>
      </c>
      <c r="BI23" s="51">
        <f>SUM(Table21112321[[#This Row],[2026]:[2032]])</f>
        <v>439.17391304347825</v>
      </c>
      <c r="BJ23" s="55"/>
    </row>
    <row r="24" spans="1:62" x14ac:dyDescent="0.35">
      <c r="A24" t="s">
        <v>20</v>
      </c>
      <c r="B24" s="134">
        <f>Revenues!CG56</f>
        <v>12.555247753785933</v>
      </c>
      <c r="C24" s="69">
        <f>Revenues!CH56</f>
        <v>19.928581087119269</v>
      </c>
      <c r="D24" s="128">
        <f>Revenues!CI56</f>
        <v>23.992582583821701</v>
      </c>
      <c r="E24" s="128">
        <f>Revenues!CJ56</f>
        <v>29.60822310739113</v>
      </c>
      <c r="F24" s="128">
        <f>Revenues!CK56</f>
        <v>25.463509589744927</v>
      </c>
      <c r="G24" s="128">
        <f>Revenues!CL56</f>
        <v>25.011031701232209</v>
      </c>
      <c r="H24" s="128">
        <f>Revenues!CM56</f>
        <v>23.855650583532981</v>
      </c>
      <c r="I24" s="51">
        <f>SUM(Table21112327[[#This Row],[2026]:[2032]])</f>
        <v>160.41482640662815</v>
      </c>
      <c r="J24" s="55"/>
      <c r="K24" t="s">
        <v>20</v>
      </c>
      <c r="L24" s="164"/>
      <c r="M24" s="128">
        <f>IF(Dashboard!$C$3=2027,Dashboard!$C$26*Revenues!$N23*Dashboard!$E$26,0)</f>
        <v>0</v>
      </c>
      <c r="N24" s="128">
        <f>IF(Dashboard!$C$3=2027,Dashboard!$C$26*Revenues!$N23*(Dashboard!$E$26-(X$39-$W$39)*2/100)*(1+(Revenues!AV$8-Revenues!$AU$8)/Revenues!$AU$8),Dashboard!$C$26*Revenues!$N23*Dashboard!$E$26)</f>
        <v>19.704999999999998</v>
      </c>
      <c r="O24" s="128">
        <f>IF(Dashboard!$C$3=2027,Dashboard!$C$26*Revenues!$N23*(Dashboard!$E$26-(Y$39-$W$39)*2/100)*(1+(Revenues!AW$8-Revenues!$AU$8)/Revenues!$AU$8),Dashboard!$C$26*Revenues!$N23*(Dashboard!$E$26-(Y$39-$X$39)*2/100)*(1+(Revenues!AW$8-Revenues!$AV$8)/Revenues!$AV$8))</f>
        <v>23.029147826086955</v>
      </c>
      <c r="P24" s="128">
        <f>IF(Dashboard!$C$3=2027,Dashboard!$C$26*Revenues!$N23*(Dashboard!$E$26-(Z$39-$W$39)*2/100)*(1+(Revenues!AX$8-Revenues!$AU$8)/Revenues!$AU$8),Dashboard!$C$26*Revenues!$N23*(Dashboard!$E$26-(Z$39-$X$39)*2/100)*(1+(Revenues!AX$8-Revenues!$AV$8)/Revenues!$AV$8))</f>
        <v>26.404699999999998</v>
      </c>
      <c r="Q24" s="128">
        <f>IF(Dashboard!$C$3=2027,Dashboard!$C$26*Revenues!$N23*(Dashboard!$E$26-(AA$39-$W$39)*2/100)*(1+(Revenues!AY$8-Revenues!$AU$8)/Revenues!$AU$8),Dashboard!$C$26*Revenues!$N23*(Dashboard!$E$26-(AA$39-$X$39)*2/100)*(1+(Revenues!AY$8-Revenues!$AV$8)/Revenues!$AV$8))</f>
        <v>27.141495652173909</v>
      </c>
      <c r="R24" s="128">
        <f>IF(Dashboard!$C$3=2027,Dashboard!$C$26*Revenues!$N23*(Dashboard!$E$26-(AB$39-$W$39)*2/100)*(1+(Revenues!AZ$8-Revenues!$AU$8)/Revenues!$AU$8),Dashboard!$C$26*Revenues!$N23*(Dashboard!$E$26-(AB$39-$X$39)*2/100)*(1+(Revenues!AZ$8-Revenues!$AV$8)/Revenues!$AV$8))</f>
        <v>27.347113043478259</v>
      </c>
      <c r="S24" s="51">
        <f>SUM(Table211123[[#This Row],[2026]:[2032]])</f>
        <v>123.62745652173913</v>
      </c>
      <c r="T24" s="55"/>
      <c r="U24" t="s">
        <v>20</v>
      </c>
      <c r="V24" s="132">
        <f>Dashboard!$C$28*Revenues!$N23*($AC$3+12*($AC$2-$AC$4))</f>
        <v>15.200999999999999</v>
      </c>
      <c r="W24" s="132">
        <f>Dashboard!$C$28*Revenues!$N23*($AC$3+12*($AC$2-$AC$4)*(1+W$3))</f>
        <v>21.956999999999997</v>
      </c>
      <c r="X24" s="69">
        <f>Dashboard!$C$28*Revenues!$N23*($AC$3+12*($AC$2-$AC$4)*(1+X$3))</f>
        <v>25.334999999999997</v>
      </c>
      <c r="Y24" s="69">
        <f>Dashboard!$C$28*Revenues!$N23*($AC$3+12*($AC$2-$AC$4)*(1+Y$3))</f>
        <v>25.334999999999997</v>
      </c>
      <c r="Z24" s="69">
        <f>Dashboard!$C$28*Revenues!$N23*($AC$3+12*($AC$2-$AC$4)*(1+Z$3))</f>
        <v>25.334999999999997</v>
      </c>
      <c r="AA24" s="69">
        <f>Dashboard!$C$28*Revenues!$N23*($AC$3+12*($AC$2-$AC$4)*(1+AA$3))</f>
        <v>25.334999999999997</v>
      </c>
      <c r="AB24" s="69">
        <f>Dashboard!$C$28*Revenues!$N23*($AC$3+12*($AC$2-$AC$4)*(1+AB$3))</f>
        <v>25.334999999999997</v>
      </c>
      <c r="AC24" s="51">
        <f>SUM(Table21112325[[#This Row],[2026]:[2032]])</f>
        <v>163.833</v>
      </c>
      <c r="AD24" s="55"/>
      <c r="AE24" s="150" t="s">
        <v>20</v>
      </c>
      <c r="AF24" s="69">
        <f>Dashboard!$C$35*B58*(V58*Dashboard!$C$34)+Dashboard!$C$38*Dashboard!$C$36*B58*(V58*Dashboard!$C$34)</f>
        <v>2462160.611178204</v>
      </c>
      <c r="AG24" s="69">
        <f>Dashboard!$C$35*C58*(W58*Dashboard!$C$34)+Dashboard!$C$38*Dashboard!$C$36*C58*(W58*Dashboard!$C$34)+Dashboard!$C$38*B58*Dashboard!$C$36*14/15*(V58*Dashboard!$C$34)</f>
        <v>2341470.0980706364</v>
      </c>
      <c r="AH24" s="69">
        <f>Dashboard!$C$35*D58*(X58*Dashboard!$C$34)+Dashboard!$C$38*Dashboard!$C$36*D58*(X58*Dashboard!$C$34)+Dashboard!$C$38*B58*Dashboard!$C$36*13/15*(V58*Dashboard!$C$34)+Dashboard!$C$38*C58*Dashboard!$C$36*14/15*(W58*Dashboard!$C$34)</f>
        <v>2232561.1173198824</v>
      </c>
      <c r="AI24" s="69">
        <f>Dashboard!$C$35*E58*(Y58*Dashboard!$C$34)+Dashboard!$C$38*Dashboard!$C$36*E58*(Y58*Dashboard!$C$34)+Dashboard!$C$38*B58*Dashboard!$C$36*12/15*(V58*Dashboard!$C$34)+Dashboard!$C$38*C58*Dashboard!$C$36*13/15*(W58*Dashboard!$C$34)+Dashboard!$C$38*D58*Dashboard!$C$36*14/15*(X58*Dashboard!$C$34)</f>
        <v>2166413.1661138004</v>
      </c>
      <c r="AJ24" s="69">
        <f>Dashboard!$C$35*F58*(Z58*Dashboard!$C$34)+Dashboard!$C$38*Dashboard!$C$36*F58*(Z58*Dashboard!$C$34)+Dashboard!$C$38*B58*Dashboard!$C$36*11/15*(V58*Dashboard!$C$34)+Dashboard!$C$38*C58*Dashboard!$C$36*12/15*(W58*Dashboard!$C$34)+Dashboard!$C$38*D58*Dashboard!$C$36*13/15*(X58*Dashboard!$C$34)+Dashboard!$C$38*E58*Dashboard!$C$36*14/15*(Y58*Dashboard!$C$34)</f>
        <v>2141436.7887372989</v>
      </c>
      <c r="AK24" s="69">
        <f>Dashboard!$C$35*G58*(AA58*Dashboard!$C$34)+Dashboard!$C$38*Dashboard!$C$36*G58*(AA58*Dashboard!$C$34)+Dashboard!$C$38*B58*Dashboard!$C$36*10/15*(V58*Dashboard!$C$34)+Dashboard!$C$38*C58*Dashboard!$C$36*11/15*(W58*Dashboard!$C$34)+Dashboard!$C$38*D58*Dashboard!$C$36*12/15*(X58*Dashboard!$C$34)+Dashboard!$C$38*E58*Dashboard!$C$36*13/15*(Y58*Dashboard!$C$34)+Dashboard!$C$38*F58*Dashboard!$C$36*14/15*(Z58*Dashboard!$C$34)</f>
        <v>2114786.3184386725</v>
      </c>
      <c r="AL24" s="69">
        <f>Dashboard!$C$35*H58*(AB58*Dashboard!$C$34)+Dashboard!$C$38*Dashboard!$C$36*H58*(AB58*Dashboard!$C$34)+Dashboard!$C$38*Dashboard!$C$36*B58*9/15*(V58*Dashboard!$C$34)+Dashboard!$C$38*C58*Dashboard!$C$36*10/15*(W58*Dashboard!$C$34)+Dashboard!$C$38*D58*Dashboard!$C$36*11/15*(X58*Dashboard!$C$34)+Dashboard!$C$38*E58*Dashboard!$C$36*12/15*(Y58*Dashboard!$C$34)+Dashboard!$C$38*F58*Dashboard!$C$36*13/15*(Z58*Dashboard!$C$34)+Dashboard!$C$38*G58*Dashboard!$C$36*14/15*(AA58*Dashboard!$C$34)</f>
        <v>2088106.2417366412</v>
      </c>
      <c r="AO24" s="147"/>
      <c r="AP24" s="150" t="s">
        <v>20</v>
      </c>
      <c r="AQ24" s="258">
        <f>Tabelle8[[#This Row],[2026]]/1000000</f>
        <v>2.462160611178204</v>
      </c>
      <c r="AR24" s="258">
        <f>Tabelle8[[#This Row],[2027]]/1000000</f>
        <v>2.3414700980706362</v>
      </c>
      <c r="AS24" s="258">
        <f>Tabelle8[[#This Row],[2028]]/1000000</f>
        <v>2.2325611173198823</v>
      </c>
      <c r="AT24" s="258">
        <f>Tabelle8[[#This Row],[2029]]/1000000</f>
        <v>2.1664131661138004</v>
      </c>
      <c r="AU24" s="258">
        <f>Tabelle8[[#This Row],[2030]]/1000000</f>
        <v>2.1414367887372987</v>
      </c>
      <c r="AV24" s="258">
        <f>Tabelle8[[#This Row],[2031]]/1000000</f>
        <v>2.1147863184386724</v>
      </c>
      <c r="AW24" s="258">
        <f>Tabelle8[[#This Row],[2032]]/1000000</f>
        <v>2.0881062417366412</v>
      </c>
      <c r="AX24" s="69">
        <f>Tabelle8[[#This Row],[2033]]/1000000</f>
        <v>0</v>
      </c>
      <c r="AY24" s="69">
        <f>Tabelle8[[#This Row],[2034]]/1000000</f>
        <v>0</v>
      </c>
      <c r="AZ24" s="76">
        <f>Tabelle8[[#This Row],[2035]]/1000000</f>
        <v>0</v>
      </c>
      <c r="BA24" t="s">
        <v>20</v>
      </c>
      <c r="BB24" s="164">
        <f>Table211123[[#This Row],[2026]]/(Revenues!$N23*Dashboard!$E$26)</f>
        <v>0</v>
      </c>
      <c r="BC24" s="164">
        <f>Table211123[[#This Row],[2027]]/(Revenues!$N23*Dashboard!$E$26)</f>
        <v>0</v>
      </c>
      <c r="BD24" s="164">
        <f>Table211123[[#This Row],[2028]]/(Revenues!$N23*Dashboard!$E$26)</f>
        <v>70</v>
      </c>
      <c r="BE24" s="164">
        <f>Table211123[[#This Row],[2029]]/(Revenues!$N23*Dashboard!$E$26)</f>
        <v>81.80869565217391</v>
      </c>
      <c r="BF24" s="164">
        <f>Table211123[[#This Row],[2030]]/(Revenues!$N23*Dashboard!$E$26)</f>
        <v>93.8</v>
      </c>
      <c r="BG24" s="164">
        <f>Table211123[[#This Row],[2031]]/(Revenues!$N23*Dashboard!$E$26)</f>
        <v>96.417391304347817</v>
      </c>
      <c r="BH24" s="164">
        <f>Table211123[[#This Row],[2032]]/(Revenues!$N23*Dashboard!$E$26)</f>
        <v>97.147826086956528</v>
      </c>
      <c r="BI24" s="51">
        <f>SUM(Table21112321[[#This Row],[2026]:[2032]])</f>
        <v>439.17391304347825</v>
      </c>
      <c r="BJ24" s="55"/>
    </row>
    <row r="25" spans="1:62" x14ac:dyDescent="0.35">
      <c r="A25" t="s">
        <v>21</v>
      </c>
      <c r="B25" s="134">
        <f>Revenues!CG57</f>
        <v>788.94658710421743</v>
      </c>
      <c r="C25" s="69">
        <f>Revenues!CH57</f>
        <v>905.86658710421739</v>
      </c>
      <c r="D25" s="128">
        <f>Revenues!CI57</f>
        <v>1386.7563931257534</v>
      </c>
      <c r="E25" s="128">
        <f>Revenues!CJ57</f>
        <v>1823.8222643389413</v>
      </c>
      <c r="F25" s="128">
        <f>Revenues!CK57</f>
        <v>1515.9518229407272</v>
      </c>
      <c r="G25" s="128">
        <f>Revenues!CL57</f>
        <v>1494.1152622774864</v>
      </c>
      <c r="H25" s="128">
        <f>Revenues!CM57</f>
        <v>1422.863835233464</v>
      </c>
      <c r="I25" s="51">
        <f>SUM(Table21112327[[#This Row],[2026]:[2032]])</f>
        <v>9338.3227521248064</v>
      </c>
      <c r="J25" s="55"/>
      <c r="K25" t="s">
        <v>21</v>
      </c>
      <c r="L25" s="164"/>
      <c r="M25" s="128">
        <f>IF(Dashboard!$C$3=2027,Dashboard!$C$26*Revenues!$N24*Dashboard!$E$26,0)</f>
        <v>0</v>
      </c>
      <c r="N25" s="128">
        <f>IF(Dashboard!$C$3=2027,Dashboard!$C$26*Revenues!$N24*(Dashboard!$E$26-(X$39-$W$39)*2/100)*(1+(Revenues!AV$8-Revenues!$AU$8)/Revenues!$AU$8),Dashboard!$C$26*Revenues!$N24*Dashboard!$E$26)</f>
        <v>628.005</v>
      </c>
      <c r="O25" s="128">
        <f>IF(Dashboard!$C$3=2027,Dashboard!$C$26*Revenues!$N24*(Dashboard!$E$26-(Y$39-$W$39)*2/100)*(1+(Revenues!AW$8-Revenues!$AU$8)/Revenues!$AU$8),Dashboard!$C$26*Revenues!$N24*(Dashboard!$E$26-(Y$39-$X$39)*2/100)*(1+(Revenues!AW$8-Revenues!$AV$8)/Revenues!$AV$8))</f>
        <v>733.94671304347821</v>
      </c>
      <c r="P25" s="128">
        <f>IF(Dashboard!$C$3=2027,Dashboard!$C$26*Revenues!$N24*(Dashboard!$E$26-(Z$39-$W$39)*2/100)*(1+(Revenues!AX$8-Revenues!$AU$8)/Revenues!$AU$8),Dashboard!$C$26*Revenues!$N24*(Dashboard!$E$26-(Z$39-$X$39)*2/100)*(1+(Revenues!AX$8-Revenues!$AV$8)/Revenues!$AV$8))</f>
        <v>841.52670000000001</v>
      </c>
      <c r="Q25" s="128">
        <f>IF(Dashboard!$C$3=2027,Dashboard!$C$26*Revenues!$N24*(Dashboard!$E$26-(AA$39-$W$39)*2/100)*(1+(Revenues!AY$8-Revenues!$AU$8)/Revenues!$AU$8),Dashboard!$C$26*Revenues!$N24*(Dashboard!$E$26-(AA$39-$X$39)*2/100)*(1+(Revenues!AY$8-Revenues!$AV$8)/Revenues!$AV$8))</f>
        <v>865.0086260869565</v>
      </c>
      <c r="R25" s="128">
        <f>IF(Dashboard!$C$3=2027,Dashboard!$C$26*Revenues!$N24*(Dashboard!$E$26-(AB$39-$W$39)*2/100)*(1+(Revenues!AZ$8-Revenues!$AU$8)/Revenues!$AU$8),Dashboard!$C$26*Revenues!$N24*(Dashboard!$E$26-(AB$39-$X$39)*2/100)*(1+(Revenues!AZ$8-Revenues!$AV$8)/Revenues!$AV$8))</f>
        <v>871.56172173913035</v>
      </c>
      <c r="S25" s="51">
        <f>SUM(Table211123[[#This Row],[2026]:[2032]])</f>
        <v>3940.0487608695653</v>
      </c>
      <c r="T25" s="55"/>
      <c r="U25" t="s">
        <v>21</v>
      </c>
      <c r="V25" s="132">
        <f>Dashboard!$C$28*Revenues!$N24*($AC$3+12*($AC$2-$AC$4))</f>
        <v>484.46100000000001</v>
      </c>
      <c r="W25" s="132">
        <f>Dashboard!$C$28*Revenues!$N24*($AC$3+12*($AC$2-$AC$4)*(1+W$3))</f>
        <v>699.77700000000004</v>
      </c>
      <c r="X25" s="69">
        <f>Dashboard!$C$28*Revenues!$N24*($AC$3+12*($AC$2-$AC$4)*(1+X$3))</f>
        <v>807.43500000000006</v>
      </c>
      <c r="Y25" s="69">
        <f>Dashboard!$C$28*Revenues!$N24*($AC$3+12*($AC$2-$AC$4)*(1+Y$3))</f>
        <v>807.43500000000006</v>
      </c>
      <c r="Z25" s="69">
        <f>Dashboard!$C$28*Revenues!$N24*($AC$3+12*($AC$2-$AC$4)*(1+Z$3))</f>
        <v>807.43500000000006</v>
      </c>
      <c r="AA25" s="69">
        <f>Dashboard!$C$28*Revenues!$N24*($AC$3+12*($AC$2-$AC$4)*(1+AA$3))</f>
        <v>807.43500000000006</v>
      </c>
      <c r="AB25" s="69">
        <f>Dashboard!$C$28*Revenues!$N24*($AC$3+12*($AC$2-$AC$4)*(1+AB$3))</f>
        <v>807.43500000000006</v>
      </c>
      <c r="AC25" s="51">
        <f>SUM(Table21112325[[#This Row],[2026]:[2032]])</f>
        <v>5221.4130000000005</v>
      </c>
      <c r="AD25" s="55"/>
      <c r="AE25" s="150" t="s">
        <v>21</v>
      </c>
      <c r="AF25" s="69">
        <f>Dashboard!$C$35*B59*(V59*Dashboard!$C$34)+Dashboard!$C$38*Dashboard!$C$36*B59*(V59*Dashboard!$C$34)</f>
        <v>157666654.86600003</v>
      </c>
      <c r="AG25" s="69">
        <f>Dashboard!$C$35*C59*(W59*Dashboard!$C$34)+Dashboard!$C$38*Dashboard!$C$36*C59*(W59*Dashboard!$C$34)+Dashboard!$C$38*B59*Dashboard!$C$36*14/15*(V59*Dashboard!$C$34)</f>
        <v>152669400.45952001</v>
      </c>
      <c r="AH25" s="69">
        <f>Dashboard!$C$35*D59*(X59*Dashboard!$C$34)+Dashboard!$C$38*Dashboard!$C$36*D59*(X59*Dashboard!$C$34)+Dashboard!$C$38*B59*Dashboard!$C$36*13/15*(V59*Dashboard!$C$34)+Dashboard!$C$38*C59*Dashboard!$C$36*14/15*(W59*Dashboard!$C$34)</f>
        <v>148400275.04609442</v>
      </c>
      <c r="AI25" s="69">
        <f>Dashboard!$C$35*E59*(Y59*Dashboard!$C$34)+Dashboard!$C$38*Dashboard!$C$36*E59*(Y59*Dashboard!$C$34)+Dashboard!$C$38*B59*Dashboard!$C$36*12/15*(V59*Dashboard!$C$34)+Dashboard!$C$38*C59*Dashboard!$C$36*13/15*(W59*Dashboard!$C$34)+Dashboard!$C$38*D59*Dashboard!$C$36*14/15*(X59*Dashboard!$C$34)</f>
        <v>143984921.42402986</v>
      </c>
      <c r="AJ25" s="69">
        <f>Dashboard!$C$35*F59*(Z59*Dashboard!$C$34)+Dashboard!$C$38*Dashboard!$C$36*F59*(Z59*Dashboard!$C$34)+Dashboard!$C$38*B59*Dashboard!$C$36*11/15*(V59*Dashboard!$C$34)+Dashboard!$C$38*C59*Dashboard!$C$36*12/15*(W59*Dashboard!$C$34)+Dashboard!$C$38*D59*Dashboard!$C$36*13/15*(X59*Dashboard!$C$34)+Dashboard!$C$38*E59*Dashboard!$C$36*14/15*(Y59*Dashboard!$C$34)</f>
        <v>142023837.26728114</v>
      </c>
      <c r="AK25" s="69">
        <f>Dashboard!$C$35*G59*(AA59*Dashboard!$C$34)+Dashboard!$C$38*Dashboard!$C$36*G59*(AA59*Dashboard!$C$34)+Dashboard!$C$38*B59*Dashboard!$C$36*10/15*(V59*Dashboard!$C$34)+Dashboard!$C$38*C59*Dashboard!$C$36*11/15*(W59*Dashboard!$C$34)+Dashboard!$C$38*D59*Dashboard!$C$36*12/15*(X59*Dashboard!$C$34)+Dashboard!$C$38*E59*Dashboard!$C$36*13/15*(Y59*Dashboard!$C$34)+Dashboard!$C$38*F59*Dashboard!$C$36*14/15*(Z59*Dashboard!$C$34)</f>
        <v>139633721.43800619</v>
      </c>
      <c r="AL25" s="69">
        <f>Dashboard!$C$35*H59*(AB59*Dashboard!$C$34)+Dashboard!$C$38*Dashboard!$C$36*H59*(AB59*Dashboard!$C$34)+Dashboard!$C$38*Dashboard!$C$36*B59*9/15*(V59*Dashboard!$C$34)+Dashboard!$C$38*C59*Dashboard!$C$36*10/15*(W59*Dashboard!$C$34)+Dashboard!$C$38*D59*Dashboard!$C$36*11/15*(X59*Dashboard!$C$34)+Dashboard!$C$38*E59*Dashboard!$C$36*12/15*(Y59*Dashboard!$C$34)+Dashboard!$C$38*F59*Dashboard!$C$36*13/15*(Z59*Dashboard!$C$34)+Dashboard!$C$38*G59*Dashboard!$C$36*14/15*(AA59*Dashboard!$C$34)</f>
        <v>137228040.5795562</v>
      </c>
      <c r="AO25" s="147"/>
      <c r="AP25" s="150" t="s">
        <v>21</v>
      </c>
      <c r="AQ25" s="258">
        <f>Tabelle8[[#This Row],[2026]]/1000000</f>
        <v>157.66665486600002</v>
      </c>
      <c r="AR25" s="258">
        <f>Tabelle8[[#This Row],[2027]]/1000000</f>
        <v>152.66940045952001</v>
      </c>
      <c r="AS25" s="258">
        <f>Tabelle8[[#This Row],[2028]]/1000000</f>
        <v>148.40027504609441</v>
      </c>
      <c r="AT25" s="258">
        <f>Tabelle8[[#This Row],[2029]]/1000000</f>
        <v>143.98492142402986</v>
      </c>
      <c r="AU25" s="258">
        <f>Tabelle8[[#This Row],[2030]]/1000000</f>
        <v>142.02383726728115</v>
      </c>
      <c r="AV25" s="258">
        <f>Tabelle8[[#This Row],[2031]]/1000000</f>
        <v>139.63372143800621</v>
      </c>
      <c r="AW25" s="258">
        <f>Tabelle8[[#This Row],[2032]]/1000000</f>
        <v>137.22804057955619</v>
      </c>
      <c r="AX25" s="69">
        <f>Tabelle8[[#This Row],[2033]]/1000000</f>
        <v>0</v>
      </c>
      <c r="AY25" s="69">
        <f>Tabelle8[[#This Row],[2034]]/1000000</f>
        <v>0</v>
      </c>
      <c r="AZ25" s="76">
        <f>Tabelle8[[#This Row],[2035]]/1000000</f>
        <v>0</v>
      </c>
      <c r="BA25" t="s">
        <v>21</v>
      </c>
      <c r="BB25" s="164">
        <f>Table211123[[#This Row],[2026]]/(Revenues!$N24*Dashboard!$E$26)</f>
        <v>0</v>
      </c>
      <c r="BC25" s="164">
        <f>Table211123[[#This Row],[2027]]/(Revenues!$N24*Dashboard!$E$26)</f>
        <v>0</v>
      </c>
      <c r="BD25" s="164">
        <f>Table211123[[#This Row],[2028]]/(Revenues!$N24*Dashboard!$E$26)</f>
        <v>70</v>
      </c>
      <c r="BE25" s="164">
        <f>Table211123[[#This Row],[2029]]/(Revenues!$N24*Dashboard!$E$26)</f>
        <v>81.808695652173895</v>
      </c>
      <c r="BF25" s="164">
        <f>Table211123[[#This Row],[2030]]/(Revenues!$N24*Dashboard!$E$26)</f>
        <v>93.8</v>
      </c>
      <c r="BG25" s="164">
        <f>Table211123[[#This Row],[2031]]/(Revenues!$N24*Dashboard!$E$26)</f>
        <v>96.417391304347817</v>
      </c>
      <c r="BH25" s="164">
        <f>Table211123[[#This Row],[2032]]/(Revenues!$N24*Dashboard!$E$26)</f>
        <v>97.147826086956499</v>
      </c>
      <c r="BI25" s="51">
        <f>SUM(Table21112321[[#This Row],[2026]:[2032]])</f>
        <v>439.17391304347819</v>
      </c>
      <c r="BJ25" s="55"/>
    </row>
    <row r="26" spans="1:62" x14ac:dyDescent="0.35">
      <c r="A26" t="s">
        <v>22</v>
      </c>
      <c r="B26" s="134">
        <f>Revenues!CG58</f>
        <v>2150.494885644946</v>
      </c>
      <c r="C26" s="69">
        <f>Revenues!CH58</f>
        <v>4004.3615523116127</v>
      </c>
      <c r="D26" s="128">
        <f>Revenues!CI58</f>
        <v>4315.7395386579556</v>
      </c>
      <c r="E26" s="128">
        <f>Revenues!CJ58</f>
        <v>5133.9780971735918</v>
      </c>
      <c r="F26" s="128">
        <f>Revenues!CK58</f>
        <v>4504.9646166804614</v>
      </c>
      <c r="G26" s="128">
        <f>Revenues!CL58</f>
        <v>4416.2103247477407</v>
      </c>
      <c r="H26" s="128">
        <f>Revenues!CM58</f>
        <v>4216.0100017112836</v>
      </c>
      <c r="I26" s="51">
        <f>SUM(Table21112327[[#This Row],[2026]:[2032]])</f>
        <v>28741.759016927594</v>
      </c>
      <c r="J26" s="55"/>
      <c r="K26" t="s">
        <v>22</v>
      </c>
      <c r="L26" s="164"/>
      <c r="M26" s="128">
        <f>IF(Dashboard!$C$3=2027,Dashboard!$C$26*Revenues!$N25*Dashboard!$E$26,0)</f>
        <v>0</v>
      </c>
      <c r="N26" s="128">
        <f>IF(Dashboard!$C$3=2027,Dashboard!$C$26*Revenues!$N25*(Dashboard!$E$26-(X$39-$W$39)*2/100)*(1+(Revenues!AV$8-Revenues!$AU$8)/Revenues!$AU$8),Dashboard!$C$26*Revenues!$N25*Dashboard!$E$26)</f>
        <v>1281.7350000000001</v>
      </c>
      <c r="O26" s="128">
        <f>IF(Dashboard!$C$3=2027,Dashboard!$C$26*Revenues!$N25*(Dashboard!$E$26-(Y$39-$W$39)*2/100)*(1+(Revenues!AW$8-Revenues!$AU$8)/Revenues!$AU$8),Dashboard!$C$26*Revenues!$N25*(Dashboard!$E$26-(Y$39-$X$39)*2/100)*(1+(Revenues!AW$8-Revenues!$AV$8)/Revenues!$AV$8))</f>
        <v>1497.9581217391305</v>
      </c>
      <c r="P26" s="128">
        <f>IF(Dashboard!$C$3=2027,Dashboard!$C$26*Revenues!$N25*(Dashboard!$E$26-(Z$39-$W$39)*2/100)*(1+(Revenues!AX$8-Revenues!$AU$8)/Revenues!$AU$8),Dashboard!$C$26*Revenues!$N25*(Dashboard!$E$26-(Z$39-$X$39)*2/100)*(1+(Revenues!AX$8-Revenues!$AV$8)/Revenues!$AV$8))</f>
        <v>1717.5249000000001</v>
      </c>
      <c r="Q26" s="128">
        <f>IF(Dashboard!$C$3=2027,Dashboard!$C$26*Revenues!$N25*(Dashboard!$E$26-(AA$39-$W$39)*2/100)*(1+(Revenues!AY$8-Revenues!$AU$8)/Revenues!$AU$8),Dashboard!$C$26*Revenues!$N25*(Dashboard!$E$26-(AA$39-$X$39)*2/100)*(1+(Revenues!AY$8-Revenues!$AV$8)/Revenues!$AV$8))</f>
        <v>1765.4506434782609</v>
      </c>
      <c r="R26" s="128">
        <f>IF(Dashboard!$C$3=2027,Dashboard!$C$26*Revenues!$N25*(Dashboard!$E$26-(AB$39-$W$39)*2/100)*(1+(Revenues!AZ$8-Revenues!$AU$8)/Revenues!$AU$8),Dashboard!$C$26*Revenues!$N25*(Dashboard!$E$26-(AB$39-$X$39)*2/100)*(1+(Revenues!AZ$8-Revenues!$AV$8)/Revenues!$AV$8))</f>
        <v>1778.8252695652175</v>
      </c>
      <c r="S26" s="51">
        <f>SUM(Table211123[[#This Row],[2026]:[2032]])</f>
        <v>8041.4939347826084</v>
      </c>
      <c r="T26" s="55"/>
      <c r="U26" t="s">
        <v>22</v>
      </c>
      <c r="V26" s="132">
        <f>Dashboard!$C$28*Revenues!$N25*($AC$3+12*($AC$2-$AC$4))</f>
        <v>988.76700000000005</v>
      </c>
      <c r="W26" s="132">
        <f>Dashboard!$C$28*Revenues!$N25*($AC$3+12*($AC$2-$AC$4)*(1+W$3))</f>
        <v>1428.2190000000001</v>
      </c>
      <c r="X26" s="69">
        <f>Dashboard!$C$28*Revenues!$N25*($AC$3+12*($AC$2-$AC$4)*(1+X$3))</f>
        <v>1647.9450000000002</v>
      </c>
      <c r="Y26" s="69">
        <f>Dashboard!$C$28*Revenues!$N25*($AC$3+12*($AC$2-$AC$4)*(1+Y$3))</f>
        <v>1647.9450000000002</v>
      </c>
      <c r="Z26" s="69">
        <f>Dashboard!$C$28*Revenues!$N25*($AC$3+12*($AC$2-$AC$4)*(1+Z$3))</f>
        <v>1647.9450000000002</v>
      </c>
      <c r="AA26" s="69">
        <f>Dashboard!$C$28*Revenues!$N25*($AC$3+12*($AC$2-$AC$4)*(1+AA$3))</f>
        <v>1647.9450000000002</v>
      </c>
      <c r="AB26" s="69">
        <f>Dashboard!$C$28*Revenues!$N25*($AC$3+12*($AC$2-$AC$4)*(1+AB$3))</f>
        <v>1647.9450000000002</v>
      </c>
      <c r="AC26" s="51">
        <f>SUM(Table21112325[[#This Row],[2026]:[2032]])</f>
        <v>10656.710999999999</v>
      </c>
      <c r="AD26" s="55"/>
      <c r="AE26" s="150" t="s">
        <v>22</v>
      </c>
      <c r="AF26" s="69">
        <f>Dashboard!$C$35*B60*(V60*Dashboard!$C$34)+Dashboard!$C$38*Dashboard!$C$36*B60*(V60*Dashboard!$C$34)</f>
        <v>157099228.14754024</v>
      </c>
      <c r="AG26" s="69">
        <f>Dashboard!$C$35*C60*(W60*Dashboard!$C$34)+Dashboard!$C$38*Dashboard!$C$36*C60*(W60*Dashboard!$C$34)+Dashboard!$C$38*B60*Dashboard!$C$36*14/15*(V60*Dashboard!$C$34)</f>
        <v>151597339.99293703</v>
      </c>
      <c r="AH26" s="69">
        <f>Dashboard!$C$35*D60*(X60*Dashboard!$C$34)+Dashboard!$C$38*Dashboard!$C$36*D60*(X60*Dashboard!$C$34)+Dashboard!$C$38*B60*Dashboard!$C$36*13/15*(V60*Dashboard!$C$34)+Dashboard!$C$38*C60*Dashboard!$C$36*14/15*(W60*Dashboard!$C$34)</f>
        <v>146385186.94281906</v>
      </c>
      <c r="AI26" s="69">
        <f>Dashboard!$C$35*E60*(Y60*Dashboard!$C$34)+Dashboard!$C$38*Dashboard!$C$36*E60*(Y60*Dashboard!$C$34)+Dashboard!$C$38*B60*Dashboard!$C$36*12/15*(V60*Dashboard!$C$34)+Dashboard!$C$38*C60*Dashboard!$C$36*13/15*(W60*Dashboard!$C$34)+Dashboard!$C$38*D60*Dashboard!$C$36*14/15*(X60*Dashboard!$C$34)</f>
        <v>143162790.64429927</v>
      </c>
      <c r="AJ26" s="69">
        <f>Dashboard!$C$35*F60*(Z60*Dashboard!$C$34)+Dashboard!$C$38*Dashboard!$C$36*F60*(Z60*Dashboard!$C$34)+Dashboard!$C$38*B60*Dashboard!$C$36*11/15*(V60*Dashboard!$C$34)+Dashboard!$C$38*C60*Dashboard!$C$36*12/15*(W60*Dashboard!$C$34)+Dashboard!$C$38*D60*Dashboard!$C$36*13/15*(X60*Dashboard!$C$34)+Dashboard!$C$38*E60*Dashboard!$C$36*14/15*(Y60*Dashboard!$C$34)</f>
        <v>142385293.65413821</v>
      </c>
      <c r="AK26" s="69">
        <f>Dashboard!$C$35*G60*(AA60*Dashboard!$C$34)+Dashboard!$C$38*Dashboard!$C$36*G60*(AA60*Dashboard!$C$34)+Dashboard!$C$38*B60*Dashboard!$C$36*10/15*(V60*Dashboard!$C$34)+Dashboard!$C$38*C60*Dashboard!$C$36*11/15*(W60*Dashboard!$C$34)+Dashboard!$C$38*D60*Dashboard!$C$36*12/15*(X60*Dashboard!$C$34)+Dashboard!$C$38*E60*Dashboard!$C$36*13/15*(Y60*Dashboard!$C$34)+Dashboard!$C$38*F60*Dashboard!$C$36*14/15*(Z60*Dashboard!$C$34)</f>
        <v>141442201.4058606</v>
      </c>
      <c r="AL26" s="69">
        <f>Dashboard!$C$35*H60*(AB60*Dashboard!$C$34)+Dashboard!$C$38*Dashboard!$C$36*H60*(AB60*Dashboard!$C$34)+Dashboard!$C$38*Dashboard!$C$36*B60*9/15*(V60*Dashboard!$C$34)+Dashboard!$C$38*C60*Dashboard!$C$36*10/15*(W60*Dashboard!$C$34)+Dashboard!$C$38*D60*Dashboard!$C$36*11/15*(X60*Dashboard!$C$34)+Dashboard!$C$38*E60*Dashboard!$C$36*12/15*(Y60*Dashboard!$C$34)+Dashboard!$C$38*F60*Dashboard!$C$36*13/15*(Z60*Dashboard!$C$34)+Dashboard!$C$38*G60*Dashboard!$C$36*14/15*(AA60*Dashboard!$C$34)</f>
        <v>139046640.49490112</v>
      </c>
      <c r="AO26" s="147"/>
      <c r="AP26" s="150" t="s">
        <v>22</v>
      </c>
      <c r="AQ26" s="258">
        <f>Tabelle8[[#This Row],[2026]]/1000000</f>
        <v>157.09922814754023</v>
      </c>
      <c r="AR26" s="258">
        <f>Tabelle8[[#This Row],[2027]]/1000000</f>
        <v>151.59733999293704</v>
      </c>
      <c r="AS26" s="258">
        <f>Tabelle8[[#This Row],[2028]]/1000000</f>
        <v>146.38518694281905</v>
      </c>
      <c r="AT26" s="258">
        <f>Tabelle8[[#This Row],[2029]]/1000000</f>
        <v>143.16279064429926</v>
      </c>
      <c r="AU26" s="258">
        <f>Tabelle8[[#This Row],[2030]]/1000000</f>
        <v>142.3852936541382</v>
      </c>
      <c r="AV26" s="258">
        <f>Tabelle8[[#This Row],[2031]]/1000000</f>
        <v>141.4422014058606</v>
      </c>
      <c r="AW26" s="258">
        <f>Tabelle8[[#This Row],[2032]]/1000000</f>
        <v>139.04664049490111</v>
      </c>
      <c r="AX26" s="69">
        <f>Tabelle8[[#This Row],[2033]]/1000000</f>
        <v>0</v>
      </c>
      <c r="AY26" s="69">
        <f>Tabelle8[[#This Row],[2034]]/1000000</f>
        <v>0</v>
      </c>
      <c r="AZ26" s="76">
        <f>Tabelle8[[#This Row],[2035]]/1000000</f>
        <v>0</v>
      </c>
      <c r="BA26" t="s">
        <v>22</v>
      </c>
      <c r="BB26" s="164">
        <f>Table211123[[#This Row],[2026]]/(Revenues!$N25*Dashboard!$E$26)</f>
        <v>0</v>
      </c>
      <c r="BC26" s="164">
        <f>Table211123[[#This Row],[2027]]/(Revenues!$N25*Dashboard!$E$26)</f>
        <v>0</v>
      </c>
      <c r="BD26" s="164">
        <f>Table211123[[#This Row],[2028]]/(Revenues!$N25*Dashboard!$E$26)</f>
        <v>70</v>
      </c>
      <c r="BE26" s="164">
        <f>Table211123[[#This Row],[2029]]/(Revenues!$N25*Dashboard!$E$26)</f>
        <v>81.80869565217391</v>
      </c>
      <c r="BF26" s="164">
        <f>Table211123[[#This Row],[2030]]/(Revenues!$N25*Dashboard!$E$26)</f>
        <v>93.8</v>
      </c>
      <c r="BG26" s="164">
        <f>Table211123[[#This Row],[2031]]/(Revenues!$N25*Dashboard!$E$26)</f>
        <v>96.417391304347817</v>
      </c>
      <c r="BH26" s="164">
        <f>Table211123[[#This Row],[2032]]/(Revenues!$N25*Dashboard!$E$26)</f>
        <v>97.147826086956513</v>
      </c>
      <c r="BI26" s="51">
        <f>SUM(Table21112321[[#This Row],[2026]:[2032]])</f>
        <v>439.17391304347825</v>
      </c>
      <c r="BJ26" s="55"/>
    </row>
    <row r="27" spans="1:62" x14ac:dyDescent="0.35">
      <c r="A27" t="s">
        <v>23</v>
      </c>
      <c r="B27" s="134">
        <f>Revenues!CG59</f>
        <v>357.10713302746962</v>
      </c>
      <c r="C27" s="69">
        <f>Revenues!CH59</f>
        <v>555.13379969413631</v>
      </c>
      <c r="D27" s="128">
        <f>Revenues!CI59</f>
        <v>678.33732325324877</v>
      </c>
      <c r="E27" s="128">
        <f>Revenues!CJ59</f>
        <v>840.9038133320355</v>
      </c>
      <c r="F27" s="128">
        <f>Revenues!CK59</f>
        <v>721.41560889787786</v>
      </c>
      <c r="G27" s="128">
        <f>Revenues!CL59</f>
        <v>708.76848328729079</v>
      </c>
      <c r="H27" s="128">
        <f>Revenues!CM59</f>
        <v>675.95172123414886</v>
      </c>
      <c r="I27" s="51">
        <f>SUM(Table21112327[[#This Row],[2026]:[2032]])</f>
        <v>4537.6178827262083</v>
      </c>
      <c r="J27" s="55"/>
      <c r="K27" t="s">
        <v>23</v>
      </c>
      <c r="L27" s="164"/>
      <c r="M27" s="128">
        <f>IF(Dashboard!$C$3=2027,Dashboard!$C$26*Revenues!$N26*Dashboard!$E$26,0)</f>
        <v>0</v>
      </c>
      <c r="N27" s="128">
        <f>IF(Dashboard!$C$3=2027,Dashboard!$C$26*Revenues!$N26*(Dashboard!$E$26-(X$39-$W$39)*2/100)*(1+(Revenues!AV$8-Revenues!$AU$8)/Revenues!$AU$8),Dashboard!$C$26*Revenues!$N26*Dashboard!$E$26)</f>
        <v>372.40000000000003</v>
      </c>
      <c r="O27" s="128">
        <f>IF(Dashboard!$C$3=2027,Dashboard!$C$26*Revenues!$N26*(Dashboard!$E$26-(Y$39-$W$39)*2/100)*(1+(Revenues!AW$8-Revenues!$AU$8)/Revenues!$AU$8),Dashboard!$C$26*Revenues!$N26*(Dashboard!$E$26-(Y$39-$X$39)*2/100)*(1+(Revenues!AW$8-Revenues!$AV$8)/Revenues!$AV$8))</f>
        <v>435.22226086956528</v>
      </c>
      <c r="P27" s="128">
        <f>IF(Dashboard!$C$3=2027,Dashboard!$C$26*Revenues!$N26*(Dashboard!$E$26-(Z$39-$W$39)*2/100)*(1+(Revenues!AX$8-Revenues!$AU$8)/Revenues!$AU$8),Dashboard!$C$26*Revenues!$N26*(Dashboard!$E$26-(Z$39-$X$39)*2/100)*(1+(Revenues!AX$8-Revenues!$AV$8)/Revenues!$AV$8))</f>
        <v>499.01600000000008</v>
      </c>
      <c r="Q27" s="128">
        <f>IF(Dashboard!$C$3=2027,Dashboard!$C$26*Revenues!$N26*(Dashboard!$E$26-(AA$39-$W$39)*2/100)*(1+(Revenues!AY$8-Revenues!$AU$8)/Revenues!$AU$8),Dashboard!$C$26*Revenues!$N26*(Dashboard!$E$26-(AA$39-$X$39)*2/100)*(1+(Revenues!AY$8-Revenues!$AV$8)/Revenues!$AV$8))</f>
        <v>512.94052173913042</v>
      </c>
      <c r="R27" s="128">
        <f>IF(Dashboard!$C$3=2027,Dashboard!$C$26*Revenues!$N26*(Dashboard!$E$26-(AB$39-$W$39)*2/100)*(1+(Revenues!AZ$8-Revenues!$AU$8)/Revenues!$AU$8),Dashboard!$C$26*Revenues!$N26*(Dashboard!$E$26-(AB$39-$X$39)*2/100)*(1+(Revenues!AZ$8-Revenues!$AV$8)/Revenues!$AV$8))</f>
        <v>516.82643478260877</v>
      </c>
      <c r="S27" s="51">
        <f>SUM(Table211123[[#This Row],[2026]:[2032]])</f>
        <v>2336.4052173913046</v>
      </c>
      <c r="T27" s="55"/>
      <c r="U27" t="s">
        <v>23</v>
      </c>
      <c r="V27" s="132">
        <f>Dashboard!$C$28*Revenues!$N26*($AC$3+12*($AC$2-$AC$4))</f>
        <v>287.28000000000003</v>
      </c>
      <c r="W27" s="132">
        <f>Dashboard!$C$28*Revenues!$N26*($AC$3+12*($AC$2-$AC$4)*(1+W$3))</f>
        <v>414.96000000000004</v>
      </c>
      <c r="X27" s="69">
        <f>Dashboard!$C$28*Revenues!$N26*($AC$3+12*($AC$2-$AC$4)*(1+X$3))</f>
        <v>478.8</v>
      </c>
      <c r="Y27" s="69">
        <f>Dashboard!$C$28*Revenues!$N26*($AC$3+12*($AC$2-$AC$4)*(1+Y$3))</f>
        <v>478.8</v>
      </c>
      <c r="Z27" s="69">
        <f>Dashboard!$C$28*Revenues!$N26*($AC$3+12*($AC$2-$AC$4)*(1+Z$3))</f>
        <v>478.8</v>
      </c>
      <c r="AA27" s="69">
        <f>Dashboard!$C$28*Revenues!$N26*($AC$3+12*($AC$2-$AC$4)*(1+AA$3))</f>
        <v>478.8</v>
      </c>
      <c r="AB27" s="69">
        <f>Dashboard!$C$28*Revenues!$N26*($AC$3+12*($AC$2-$AC$4)*(1+AB$3))</f>
        <v>478.8</v>
      </c>
      <c r="AC27" s="51">
        <f>SUM(Table21112325[[#This Row],[2026]:[2032]])</f>
        <v>3096.2400000000002</v>
      </c>
      <c r="AD27" s="55"/>
      <c r="AE27" s="150" t="s">
        <v>23</v>
      </c>
      <c r="AF27" s="69">
        <f>Dashboard!$C$35*B61*(V61*Dashboard!$C$34)+Dashboard!$C$38*Dashboard!$C$36*B61*(V61*Dashboard!$C$34)</f>
        <v>26319048.60372372</v>
      </c>
      <c r="AG27" s="69">
        <f>Dashboard!$C$35*C61*(W61*Dashboard!$C$34)+Dashboard!$C$38*Dashboard!$C$36*C61*(W61*Dashboard!$C$34)+Dashboard!$C$38*B61*Dashboard!$C$36*14/15*(V61*Dashboard!$C$34)</f>
        <v>25028938.013023295</v>
      </c>
      <c r="AH27" s="69">
        <f>Dashboard!$C$35*D61*(X61*Dashboard!$C$34)+Dashboard!$C$38*Dashboard!$C$36*D61*(X61*Dashboard!$C$34)+Dashboard!$C$38*B61*Dashboard!$C$36*13/15*(V61*Dashboard!$C$34)+Dashboard!$C$38*C61*Dashboard!$C$36*14/15*(W61*Dashboard!$C$34)</f>
        <v>23864765.072904058</v>
      </c>
      <c r="AI27" s="69">
        <f>Dashboard!$C$35*E61*(Y61*Dashboard!$C$34)+Dashboard!$C$38*Dashboard!$C$36*E61*(Y61*Dashboard!$C$34)+Dashboard!$C$38*B61*Dashboard!$C$36*12/15*(V61*Dashboard!$C$34)+Dashboard!$C$38*C61*Dashboard!$C$36*13/15*(W61*Dashboard!$C$34)+Dashboard!$C$38*D61*Dashboard!$C$36*14/15*(X61*Dashboard!$C$34)</f>
        <v>23157682.385070577</v>
      </c>
      <c r="AJ27" s="69">
        <f>Dashboard!$C$35*F61*(Z61*Dashboard!$C$34)+Dashboard!$C$38*Dashboard!$C$36*F61*(Z61*Dashboard!$C$34)+Dashboard!$C$38*B61*Dashboard!$C$36*11/15*(V61*Dashboard!$C$34)+Dashboard!$C$38*C61*Dashboard!$C$36*12/15*(W61*Dashboard!$C$34)+Dashboard!$C$38*D61*Dashboard!$C$36*13/15*(X61*Dashboard!$C$34)+Dashboard!$C$38*E61*Dashboard!$C$36*14/15*(Y61*Dashboard!$C$34)</f>
        <v>22890699.602902468</v>
      </c>
      <c r="AK27" s="69">
        <f>Dashboard!$C$35*G61*(AA61*Dashboard!$C$34)+Dashboard!$C$38*Dashboard!$C$36*G61*(AA61*Dashboard!$C$34)+Dashboard!$C$38*B61*Dashboard!$C$36*10/15*(V61*Dashboard!$C$34)+Dashboard!$C$38*C61*Dashboard!$C$36*11/15*(W61*Dashboard!$C$34)+Dashboard!$C$38*D61*Dashboard!$C$36*12/15*(X61*Dashboard!$C$34)+Dashboard!$C$38*E61*Dashboard!$C$36*13/15*(Y61*Dashboard!$C$34)+Dashboard!$C$38*F61*Dashboard!$C$36*14/15*(Z61*Dashboard!$C$34)</f>
        <v>22605821.75215739</v>
      </c>
      <c r="AL27" s="69">
        <f>Dashboard!$C$35*H61*(AB61*Dashboard!$C$34)+Dashboard!$C$38*Dashboard!$C$36*H61*(AB61*Dashboard!$C$34)+Dashboard!$C$38*Dashboard!$C$36*B61*9/15*(V61*Dashboard!$C$34)+Dashboard!$C$38*C61*Dashboard!$C$36*10/15*(W61*Dashboard!$C$34)+Dashboard!$C$38*D61*Dashboard!$C$36*11/15*(X61*Dashboard!$C$34)+Dashboard!$C$38*E61*Dashboard!$C$36*12/15*(Y61*Dashboard!$C$34)+Dashboard!$C$38*F61*Dashboard!$C$36*13/15*(Z61*Dashboard!$C$34)+Dashboard!$C$38*G61*Dashboard!$C$36*14/15*(AA61*Dashboard!$C$34)</f>
        <v>22320627.426375445</v>
      </c>
      <c r="AO27" s="147"/>
      <c r="AP27" s="150" t="s">
        <v>23</v>
      </c>
      <c r="AQ27" s="258">
        <f>Tabelle8[[#This Row],[2026]]/1000000</f>
        <v>26.319048603723719</v>
      </c>
      <c r="AR27" s="258">
        <f>Tabelle8[[#This Row],[2027]]/1000000</f>
        <v>25.028938013023293</v>
      </c>
      <c r="AS27" s="258">
        <f>Tabelle8[[#This Row],[2028]]/1000000</f>
        <v>23.864765072904056</v>
      </c>
      <c r="AT27" s="258">
        <f>Tabelle8[[#This Row],[2029]]/1000000</f>
        <v>23.157682385070576</v>
      </c>
      <c r="AU27" s="258">
        <f>Tabelle8[[#This Row],[2030]]/1000000</f>
        <v>22.890699602902469</v>
      </c>
      <c r="AV27" s="258">
        <f>Tabelle8[[#This Row],[2031]]/1000000</f>
        <v>22.605821752157389</v>
      </c>
      <c r="AW27" s="258">
        <f>Tabelle8[[#This Row],[2032]]/1000000</f>
        <v>22.320627426375445</v>
      </c>
      <c r="AX27" s="69">
        <f>Tabelle8[[#This Row],[2033]]/1000000</f>
        <v>0</v>
      </c>
      <c r="AY27" s="69">
        <f>Tabelle8[[#This Row],[2034]]/1000000</f>
        <v>0</v>
      </c>
      <c r="AZ27" s="76">
        <f>Tabelle8[[#This Row],[2035]]/1000000</f>
        <v>0</v>
      </c>
      <c r="BA27" t="s">
        <v>23</v>
      </c>
      <c r="BB27" s="164">
        <f>Table211123[[#This Row],[2026]]/(Revenues!$N26*Dashboard!$E$26)</f>
        <v>0</v>
      </c>
      <c r="BC27" s="164">
        <f>Table211123[[#This Row],[2027]]/(Revenues!$N26*Dashboard!$E$26)</f>
        <v>0</v>
      </c>
      <c r="BD27" s="164">
        <f>Table211123[[#This Row],[2028]]/(Revenues!$N26*Dashboard!$E$26)</f>
        <v>70</v>
      </c>
      <c r="BE27" s="164">
        <f>Table211123[[#This Row],[2029]]/(Revenues!$N26*Dashboard!$E$26)</f>
        <v>81.808695652173924</v>
      </c>
      <c r="BF27" s="164">
        <f>Table211123[[#This Row],[2030]]/(Revenues!$N26*Dashboard!$E$26)</f>
        <v>93.800000000000011</v>
      </c>
      <c r="BG27" s="164">
        <f>Table211123[[#This Row],[2031]]/(Revenues!$N26*Dashboard!$E$26)</f>
        <v>96.417391304347817</v>
      </c>
      <c r="BH27" s="164">
        <f>Table211123[[#This Row],[2032]]/(Revenues!$N26*Dashboard!$E$26)</f>
        <v>97.147826086956528</v>
      </c>
      <c r="BI27" s="51">
        <f>SUM(Table21112321[[#This Row],[2026]:[2032]])</f>
        <v>439.17391304347825</v>
      </c>
      <c r="BJ27" s="55"/>
    </row>
    <row r="28" spans="1:62" x14ac:dyDescent="0.35">
      <c r="A28" t="s">
        <v>24</v>
      </c>
      <c r="B28" s="134">
        <f>Revenues!CG60</f>
        <v>815.64042218600025</v>
      </c>
      <c r="C28" s="69">
        <f>Revenues!CH60</f>
        <v>1789.9737555193335</v>
      </c>
      <c r="D28" s="128">
        <f>Revenues!CI60</f>
        <v>1731.5184950816706</v>
      </c>
      <c r="E28" s="128">
        <f>Revenues!CJ60</f>
        <v>1975.9483701203537</v>
      </c>
      <c r="F28" s="128">
        <f>Revenues!CK60</f>
        <v>1774.5045569255301</v>
      </c>
      <c r="G28" s="128">
        <f>Revenues!CL60</f>
        <v>1735.6776523368544</v>
      </c>
      <c r="H28" s="128">
        <f>Revenues!CM60</f>
        <v>1658.6883849485671</v>
      </c>
      <c r="I28" s="51">
        <f>SUM(Table21112327[[#This Row],[2026]:[2032]])</f>
        <v>11481.951637118309</v>
      </c>
      <c r="J28" s="55"/>
      <c r="K28" t="s">
        <v>24</v>
      </c>
      <c r="L28" s="164"/>
      <c r="M28" s="128">
        <f>IF(Dashboard!$C$3=2027,Dashboard!$C$26*Revenues!$N27*Dashboard!$E$26,0)</f>
        <v>0</v>
      </c>
      <c r="N28" s="128">
        <f>IF(Dashboard!$C$3=2027,Dashboard!$C$26*Revenues!$N27*(Dashboard!$E$26-(X$39-$W$39)*2/100)*(1+(Revenues!AV$8-Revenues!$AU$8)/Revenues!$AU$8),Dashboard!$C$26*Revenues!$N27*Dashboard!$E$26)</f>
        <v>667.38</v>
      </c>
      <c r="O28" s="128">
        <f>IF(Dashboard!$C$3=2027,Dashboard!$C$26*Revenues!$N27*(Dashboard!$E$26-(Y$39-$W$39)*2/100)*(1+(Revenues!AW$8-Revenues!$AU$8)/Revenues!$AU$8),Dashboard!$C$26*Revenues!$N27*(Dashboard!$E$26-(Y$39-$X$39)*2/100)*(1+(Revenues!AW$8-Revenues!$AV$8)/Revenues!$AV$8))</f>
        <v>779.96410434782615</v>
      </c>
      <c r="P28" s="128">
        <f>IF(Dashboard!$C$3=2027,Dashboard!$C$26*Revenues!$N27*(Dashboard!$E$26-(Z$39-$W$39)*2/100)*(1+(Revenues!AX$8-Revenues!$AU$8)/Revenues!$AU$8),Dashboard!$C$26*Revenues!$N27*(Dashboard!$E$26-(Z$39-$X$39)*2/100)*(1+(Revenues!AX$8-Revenues!$AV$8)/Revenues!$AV$8))</f>
        <v>894.28920000000005</v>
      </c>
      <c r="Q28" s="128">
        <f>IF(Dashboard!$C$3=2027,Dashboard!$C$26*Revenues!$N27*(Dashboard!$E$26-(AA$39-$W$39)*2/100)*(1+(Revenues!AY$8-Revenues!$AU$8)/Revenues!$AU$8),Dashboard!$C$26*Revenues!$N27*(Dashboard!$E$26-(AA$39-$X$39)*2/100)*(1+(Revenues!AY$8-Revenues!$AV$8)/Revenues!$AV$8))</f>
        <v>919.24340869565208</v>
      </c>
      <c r="R28" s="128">
        <f>IF(Dashboard!$C$3=2027,Dashboard!$C$26*Revenues!$N27*(Dashboard!$E$26-(AB$39-$W$39)*2/100)*(1+(Revenues!AZ$8-Revenues!$AU$8)/Revenues!$AU$8),Dashboard!$C$26*Revenues!$N27*(Dashboard!$E$26-(AB$39-$X$39)*2/100)*(1+(Revenues!AZ$8-Revenues!$AV$8)/Revenues!$AV$8))</f>
        <v>926.20737391304351</v>
      </c>
      <c r="S28" s="51">
        <f>SUM(Table211123[[#This Row],[2026]:[2032]])</f>
        <v>4187.0840869565218</v>
      </c>
      <c r="T28" s="55"/>
      <c r="U28" t="s">
        <v>24</v>
      </c>
      <c r="V28" s="132">
        <f>Dashboard!$C$28*Revenues!$N27*($AC$3+12*($AC$2-$AC$4))</f>
        <v>514.83600000000001</v>
      </c>
      <c r="W28" s="132">
        <f>Dashboard!$C$28*Revenues!$N27*($AC$3+12*($AC$2-$AC$4)*(1+W$3))</f>
        <v>743.65200000000004</v>
      </c>
      <c r="X28" s="69">
        <f>Dashboard!$C$28*Revenues!$N27*($AC$3+12*($AC$2-$AC$4)*(1+X$3))</f>
        <v>858.06000000000006</v>
      </c>
      <c r="Y28" s="69">
        <f>Dashboard!$C$28*Revenues!$N27*($AC$3+12*($AC$2-$AC$4)*(1+Y$3))</f>
        <v>858.06000000000006</v>
      </c>
      <c r="Z28" s="69">
        <f>Dashboard!$C$28*Revenues!$N27*($AC$3+12*($AC$2-$AC$4)*(1+Z$3))</f>
        <v>858.06000000000006</v>
      </c>
      <c r="AA28" s="69">
        <f>Dashboard!$C$28*Revenues!$N27*($AC$3+12*($AC$2-$AC$4)*(1+AA$3))</f>
        <v>858.06000000000006</v>
      </c>
      <c r="AB28" s="69">
        <f>Dashboard!$C$28*Revenues!$N27*($AC$3+12*($AC$2-$AC$4)*(1+AB$3))</f>
        <v>858.06000000000006</v>
      </c>
      <c r="AC28" s="51">
        <f>SUM(Table21112325[[#This Row],[2026]:[2032]])</f>
        <v>5548.7880000000005</v>
      </c>
      <c r="AD28" s="55"/>
      <c r="AE28" s="150" t="s">
        <v>24</v>
      </c>
      <c r="AF28" s="69">
        <f>Dashboard!$C$35*B62*(V62*Dashboard!$C$34)+Dashboard!$C$38*Dashboard!$C$36*B62*(V62*Dashboard!$C$34)</f>
        <v>125963097.29248002</v>
      </c>
      <c r="AG28" s="69">
        <f>Dashboard!$C$35*C62*(W62*Dashboard!$C$34)+Dashboard!$C$38*Dashboard!$C$36*C62*(W62*Dashboard!$C$34)+Dashboard!$C$38*B62*Dashboard!$C$36*14/15*(V62*Dashboard!$C$34)</f>
        <v>126671073.63508482</v>
      </c>
      <c r="AH28" s="69">
        <f>Dashboard!$C$35*D62*(X62*Dashboard!$C$34)+Dashboard!$C$38*Dashboard!$C$36*D62*(X62*Dashboard!$C$34)+Dashboard!$C$38*B62*Dashboard!$C$36*13/15*(V62*Dashboard!$C$34)+Dashboard!$C$38*C62*Dashboard!$C$36*14/15*(W62*Dashboard!$C$34)</f>
        <v>115682683.08529526</v>
      </c>
      <c r="AI28" s="69">
        <f>Dashboard!$C$35*E62*(Y62*Dashboard!$C$34)+Dashboard!$C$38*Dashboard!$C$36*E62*(Y62*Dashboard!$C$34)+Dashboard!$C$38*B62*Dashboard!$C$36*12/15*(V62*Dashboard!$C$34)+Dashboard!$C$38*C62*Dashboard!$C$36*13/15*(W62*Dashboard!$C$34)+Dashboard!$C$38*D62*Dashboard!$C$36*14/15*(X62*Dashboard!$C$34)</f>
        <v>105340858.20612954</v>
      </c>
      <c r="AJ28" s="69">
        <f>Dashboard!$C$35*F62*(Z62*Dashboard!$C$34)+Dashboard!$C$38*Dashboard!$C$36*F62*(Z62*Dashboard!$C$34)+Dashboard!$C$38*B62*Dashboard!$C$36*11/15*(V62*Dashboard!$C$34)+Dashboard!$C$38*C62*Dashboard!$C$36*12/15*(W62*Dashboard!$C$34)+Dashboard!$C$38*D62*Dashboard!$C$36*13/15*(X62*Dashboard!$C$34)+Dashboard!$C$38*E62*Dashboard!$C$36*14/15*(Y62*Dashboard!$C$34)</f>
        <v>106404171.71786451</v>
      </c>
      <c r="AK28" s="69">
        <f>Dashboard!$C$35*G62*(AA62*Dashboard!$C$34)+Dashboard!$C$38*Dashboard!$C$36*G62*(AA62*Dashboard!$C$34)+Dashboard!$C$38*B62*Dashboard!$C$36*10/15*(V62*Dashboard!$C$34)+Dashboard!$C$38*C62*Dashboard!$C$36*11/15*(W62*Dashboard!$C$34)+Dashboard!$C$38*D62*Dashboard!$C$36*12/15*(X62*Dashboard!$C$34)+Dashboard!$C$38*E62*Dashboard!$C$36*13/15*(Y62*Dashboard!$C$34)+Dashboard!$C$38*F62*Dashboard!$C$36*14/15*(Z62*Dashboard!$C$34)</f>
        <v>107730707.38436483</v>
      </c>
      <c r="AL28" s="69">
        <f>Dashboard!$C$35*H62*(AB62*Dashboard!$C$34)+Dashboard!$C$38*Dashboard!$C$36*H62*(AB62*Dashboard!$C$34)+Dashboard!$C$38*Dashboard!$C$36*B62*9/15*(V62*Dashboard!$C$34)+Dashboard!$C$38*C62*Dashboard!$C$36*10/15*(W62*Dashboard!$C$34)+Dashboard!$C$38*D62*Dashboard!$C$36*11/15*(X62*Dashboard!$C$34)+Dashboard!$C$38*E62*Dashboard!$C$36*12/15*(Y62*Dashboard!$C$34)+Dashboard!$C$38*F62*Dashboard!$C$36*13/15*(Z62*Dashboard!$C$34)+Dashboard!$C$38*G62*Dashboard!$C$36*14/15*(AA62*Dashboard!$C$34)</f>
        <v>108859450.93648283</v>
      </c>
      <c r="AO28" s="147"/>
      <c r="AP28" s="150" t="s">
        <v>24</v>
      </c>
      <c r="AQ28" s="258">
        <f>Tabelle8[[#This Row],[2026]]/1000000</f>
        <v>125.96309729248001</v>
      </c>
      <c r="AR28" s="258">
        <f>Tabelle8[[#This Row],[2027]]/1000000</f>
        <v>126.67107363508482</v>
      </c>
      <c r="AS28" s="258">
        <f>Tabelle8[[#This Row],[2028]]/1000000</f>
        <v>115.68268308529527</v>
      </c>
      <c r="AT28" s="258">
        <f>Tabelle8[[#This Row],[2029]]/1000000</f>
        <v>105.34085820612954</v>
      </c>
      <c r="AU28" s="258">
        <f>Tabelle8[[#This Row],[2030]]/1000000</f>
        <v>106.40417171786451</v>
      </c>
      <c r="AV28" s="258">
        <f>Tabelle8[[#This Row],[2031]]/1000000</f>
        <v>107.73070738436483</v>
      </c>
      <c r="AW28" s="258">
        <f>Tabelle8[[#This Row],[2032]]/1000000</f>
        <v>108.85945093648283</v>
      </c>
      <c r="AX28" s="69">
        <f>Tabelle8[[#This Row],[2033]]/1000000</f>
        <v>0</v>
      </c>
      <c r="AY28" s="69">
        <f>Tabelle8[[#This Row],[2034]]/1000000</f>
        <v>0</v>
      </c>
      <c r="AZ28" s="76">
        <f>Tabelle8[[#This Row],[2035]]/1000000</f>
        <v>0</v>
      </c>
      <c r="BA28" t="s">
        <v>24</v>
      </c>
      <c r="BB28" s="164">
        <f>Table211123[[#This Row],[2026]]/(Revenues!$N27*Dashboard!$E$26)</f>
        <v>0</v>
      </c>
      <c r="BC28" s="164">
        <f>Table211123[[#This Row],[2027]]/(Revenues!$N27*Dashboard!$E$26)</f>
        <v>0</v>
      </c>
      <c r="BD28" s="164">
        <f>Table211123[[#This Row],[2028]]/(Revenues!$N27*Dashboard!$E$26)</f>
        <v>70</v>
      </c>
      <c r="BE28" s="164">
        <f>Table211123[[#This Row],[2029]]/(Revenues!$N27*Dashboard!$E$26)</f>
        <v>81.80869565217391</v>
      </c>
      <c r="BF28" s="164">
        <f>Table211123[[#This Row],[2030]]/(Revenues!$N27*Dashboard!$E$26)</f>
        <v>93.8</v>
      </c>
      <c r="BG28" s="164">
        <f>Table211123[[#This Row],[2031]]/(Revenues!$N27*Dashboard!$E$26)</f>
        <v>96.417391304347802</v>
      </c>
      <c r="BH28" s="164">
        <f>Table211123[[#This Row],[2032]]/(Revenues!$N27*Dashboard!$E$26)</f>
        <v>97.147826086956513</v>
      </c>
      <c r="BI28" s="51">
        <f>SUM(Table21112321[[#This Row],[2026]:[2032]])</f>
        <v>439.17391304347825</v>
      </c>
      <c r="BJ28" s="55"/>
    </row>
    <row r="29" spans="1:62" x14ac:dyDescent="0.35">
      <c r="A29" t="s">
        <v>25</v>
      </c>
      <c r="B29" s="134">
        <f>Revenues!CG61</f>
        <v>271.51905414113389</v>
      </c>
      <c r="C29" s="69">
        <f>Revenues!CH61</f>
        <v>519.0523874744672</v>
      </c>
      <c r="D29" s="128">
        <f>Revenues!CI61</f>
        <v>549.59987048116409</v>
      </c>
      <c r="E29" s="128">
        <f>Revenues!CJ61</f>
        <v>649.63691945297501</v>
      </c>
      <c r="F29" s="128">
        <f>Revenues!CK61</f>
        <v>572.06199370002628</v>
      </c>
      <c r="G29" s="128">
        <f>Revenues!CL61</f>
        <v>560.59955369795557</v>
      </c>
      <c r="H29" s="128">
        <f>Revenues!CM61</f>
        <v>535.26999127688146</v>
      </c>
      <c r="I29" s="51">
        <f>SUM(Table21112327[[#This Row],[2026]:[2032]])</f>
        <v>3657.7397702246035</v>
      </c>
      <c r="J29" s="55"/>
      <c r="K29" t="s">
        <v>25</v>
      </c>
      <c r="L29" s="164"/>
      <c r="M29" s="128">
        <f>IF(Dashboard!$C$3=2027,Dashboard!$C$26*Revenues!$N28*Dashboard!$E$26,0)</f>
        <v>0</v>
      </c>
      <c r="N29" s="128">
        <f>IF(Dashboard!$C$3=2027,Dashboard!$C$26*Revenues!$N28*(Dashboard!$E$26-(X$39-$W$39)*2/100)*(1+(Revenues!AV$8-Revenues!$AU$8)/Revenues!$AU$8),Dashboard!$C$26*Revenues!$N28*Dashboard!$E$26)</f>
        <v>189.875</v>
      </c>
      <c r="O29" s="128">
        <f>IF(Dashboard!$C$3=2027,Dashboard!$C$26*Revenues!$N28*(Dashboard!$E$26-(Y$39-$W$39)*2/100)*(1+(Revenues!AW$8-Revenues!$AU$8)/Revenues!$AU$8),Dashboard!$C$26*Revenues!$N28*(Dashboard!$E$26-(Y$39-$X$39)*2/100)*(1+(Revenues!AW$8-Revenues!$AV$8)/Revenues!$AV$8))</f>
        <v>221.90608695652176</v>
      </c>
      <c r="P29" s="128">
        <f>IF(Dashboard!$C$3=2027,Dashboard!$C$26*Revenues!$N28*(Dashboard!$E$26-(Z$39-$W$39)*2/100)*(1+(Revenues!AX$8-Revenues!$AU$8)/Revenues!$AU$8),Dashboard!$C$26*Revenues!$N28*(Dashboard!$E$26-(Z$39-$X$39)*2/100)*(1+(Revenues!AX$8-Revenues!$AV$8)/Revenues!$AV$8))</f>
        <v>254.4325</v>
      </c>
      <c r="Q29" s="128">
        <f>IF(Dashboard!$C$3=2027,Dashboard!$C$26*Revenues!$N28*(Dashboard!$E$26-(AA$39-$W$39)*2/100)*(1+(Revenues!AY$8-Revenues!$AU$8)/Revenues!$AU$8),Dashboard!$C$26*Revenues!$N28*(Dashboard!$E$26-(AA$39-$X$39)*2/100)*(1+(Revenues!AY$8-Revenues!$AV$8)/Revenues!$AV$8))</f>
        <v>261.53217391304344</v>
      </c>
      <c r="R29" s="128">
        <f>IF(Dashboard!$C$3=2027,Dashboard!$C$26*Revenues!$N28*(Dashboard!$E$26-(AB$39-$W$39)*2/100)*(1+(Revenues!AZ$8-Revenues!$AU$8)/Revenues!$AU$8),Dashboard!$C$26*Revenues!$N28*(Dashboard!$E$26-(AB$39-$X$39)*2/100)*(1+(Revenues!AZ$8-Revenues!$AV$8)/Revenues!$AV$8))</f>
        <v>263.51347826086959</v>
      </c>
      <c r="S29" s="51">
        <f>SUM(Table211123[[#This Row],[2026]:[2032]])</f>
        <v>1191.2592391304347</v>
      </c>
      <c r="T29" s="55"/>
      <c r="U29" t="s">
        <v>25</v>
      </c>
      <c r="V29" s="132">
        <f>Dashboard!$C$28*Revenues!$N28*($AC$3+12*($AC$2-$AC$4))</f>
        <v>146.47499999999999</v>
      </c>
      <c r="W29" s="132">
        <f>Dashboard!$C$28*Revenues!$N28*($AC$3+12*($AC$2-$AC$4)*(1+W$3))</f>
        <v>211.57499999999999</v>
      </c>
      <c r="X29" s="69">
        <f>Dashboard!$C$28*Revenues!$N28*($AC$3+12*($AC$2-$AC$4)*(1+X$3))</f>
        <v>244.125</v>
      </c>
      <c r="Y29" s="69">
        <f>Dashboard!$C$28*Revenues!$N28*($AC$3+12*($AC$2-$AC$4)*(1+Y$3))</f>
        <v>244.125</v>
      </c>
      <c r="Z29" s="69">
        <f>Dashboard!$C$28*Revenues!$N28*($AC$3+12*($AC$2-$AC$4)*(1+Z$3))</f>
        <v>244.125</v>
      </c>
      <c r="AA29" s="69">
        <f>Dashboard!$C$28*Revenues!$N28*($AC$3+12*($AC$2-$AC$4)*(1+AA$3))</f>
        <v>244.125</v>
      </c>
      <c r="AB29" s="69">
        <f>Dashboard!$C$28*Revenues!$N28*($AC$3+12*($AC$2-$AC$4)*(1+AB$3))</f>
        <v>244.125</v>
      </c>
      <c r="AC29" s="51">
        <f>SUM(Table21112325[[#This Row],[2026]:[2032]])</f>
        <v>1578.675</v>
      </c>
      <c r="AD29" s="55"/>
      <c r="AE29" s="150" t="s">
        <v>25</v>
      </c>
      <c r="AF29" s="69">
        <f>Dashboard!$C$35*B63*(V63*Dashboard!$C$34)+Dashboard!$C$38*Dashboard!$C$36*B63*(V63*Dashboard!$C$34)</f>
        <v>16953568.970710345</v>
      </c>
      <c r="AG29" s="69">
        <f>Dashboard!$C$35*C63*(W63*Dashboard!$C$34)+Dashboard!$C$38*Dashboard!$C$36*C63*(W63*Dashboard!$C$34)+Dashboard!$C$38*B63*Dashboard!$C$36*14/15*(V63*Dashboard!$C$34)</f>
        <v>16122536.694103323</v>
      </c>
      <c r="AH29" s="69">
        <f>Dashboard!$C$35*D63*(X63*Dashboard!$C$34)+Dashboard!$C$38*Dashboard!$C$36*D63*(X63*Dashboard!$C$34)+Dashboard!$C$38*B63*Dashboard!$C$36*13/15*(V63*Dashboard!$C$34)+Dashboard!$C$38*C63*Dashboard!$C$36*14/15*(W63*Dashboard!$C$34)</f>
        <v>15372627.891117424</v>
      </c>
      <c r="AI29" s="69">
        <f>Dashboard!$C$35*E63*(Y63*Dashboard!$C$34)+Dashboard!$C$38*Dashboard!$C$36*E63*(Y63*Dashboard!$C$34)+Dashboard!$C$38*B63*Dashboard!$C$36*12/15*(V63*Dashboard!$C$34)+Dashboard!$C$38*C63*Dashboard!$C$36*13/15*(W63*Dashboard!$C$34)+Dashboard!$C$38*D63*Dashboard!$C$36*14/15*(X63*Dashboard!$C$34)</f>
        <v>14917156.445448065</v>
      </c>
      <c r="AJ29" s="69">
        <f>Dashboard!$C$35*F63*(Z63*Dashboard!$C$34)+Dashboard!$C$38*Dashboard!$C$36*F63*(Z63*Dashboard!$C$34)+Dashboard!$C$38*B63*Dashboard!$C$36*11/15*(V63*Dashboard!$C$34)+Dashboard!$C$38*C63*Dashboard!$C$36*12/15*(W63*Dashboard!$C$34)+Dashboard!$C$38*D63*Dashboard!$C$36*13/15*(X63*Dashboard!$C$34)+Dashboard!$C$38*E63*Dashboard!$C$36*14/15*(Y63*Dashboard!$C$34)</f>
        <v>14745177.926025489</v>
      </c>
      <c r="AK29" s="69">
        <f>Dashboard!$C$35*G63*(AA63*Dashboard!$C$34)+Dashboard!$C$38*Dashboard!$C$36*G63*(AA63*Dashboard!$C$34)+Dashboard!$C$38*B63*Dashboard!$C$36*10/15*(V63*Dashboard!$C$34)+Dashboard!$C$38*C63*Dashboard!$C$36*11/15*(W63*Dashboard!$C$34)+Dashboard!$C$38*D63*Dashboard!$C$36*12/15*(X63*Dashboard!$C$34)+Dashboard!$C$38*E63*Dashboard!$C$36*13/15*(Y63*Dashboard!$C$34)+Dashboard!$C$38*F63*Dashboard!$C$36*14/15*(Z63*Dashboard!$C$34)</f>
        <v>14561672.193597494</v>
      </c>
      <c r="AL29" s="69">
        <f>Dashboard!$C$35*H63*(AB63*Dashboard!$C$34)+Dashboard!$C$38*Dashboard!$C$36*H63*(AB63*Dashboard!$C$34)+Dashboard!$C$38*Dashboard!$C$36*B63*9/15*(V63*Dashboard!$C$34)+Dashboard!$C$38*C63*Dashboard!$C$36*10/15*(W63*Dashboard!$C$34)+Dashboard!$C$38*D63*Dashboard!$C$36*11/15*(X63*Dashboard!$C$34)+Dashboard!$C$38*E63*Dashboard!$C$36*12/15*(Y63*Dashboard!$C$34)+Dashboard!$C$38*F63*Dashboard!$C$36*13/15*(Z63*Dashboard!$C$34)+Dashboard!$C$38*G63*Dashboard!$C$36*14/15*(AA63*Dashboard!$C$34)</f>
        <v>14377962.601924958</v>
      </c>
      <c r="AO29" s="147"/>
      <c r="AP29" s="150" t="s">
        <v>25</v>
      </c>
      <c r="AQ29" s="258">
        <f>Tabelle8[[#This Row],[2026]]/1000000</f>
        <v>16.953568970710343</v>
      </c>
      <c r="AR29" s="258">
        <f>Tabelle8[[#This Row],[2027]]/1000000</f>
        <v>16.122536694103324</v>
      </c>
      <c r="AS29" s="258">
        <f>Tabelle8[[#This Row],[2028]]/1000000</f>
        <v>15.372627891117423</v>
      </c>
      <c r="AT29" s="258">
        <f>Tabelle8[[#This Row],[2029]]/1000000</f>
        <v>14.917156445448065</v>
      </c>
      <c r="AU29" s="258">
        <f>Tabelle8[[#This Row],[2030]]/1000000</f>
        <v>14.745177926025489</v>
      </c>
      <c r="AV29" s="258">
        <f>Tabelle8[[#This Row],[2031]]/1000000</f>
        <v>14.561672193597493</v>
      </c>
      <c r="AW29" s="258">
        <f>Tabelle8[[#This Row],[2032]]/1000000</f>
        <v>14.377962601924958</v>
      </c>
      <c r="AX29" s="69">
        <f>Tabelle8[[#This Row],[2033]]/1000000</f>
        <v>0</v>
      </c>
      <c r="AY29" s="69">
        <f>Tabelle8[[#This Row],[2034]]/1000000</f>
        <v>0</v>
      </c>
      <c r="AZ29" s="76">
        <f>Tabelle8[[#This Row],[2035]]/1000000</f>
        <v>0</v>
      </c>
      <c r="BA29" t="s">
        <v>25</v>
      </c>
      <c r="BB29" s="164">
        <f>Table211123[[#This Row],[2026]]/(Revenues!$N28*Dashboard!$E$26)</f>
        <v>0</v>
      </c>
      <c r="BC29" s="164">
        <f>Table211123[[#This Row],[2027]]/(Revenues!$N28*Dashboard!$E$26)</f>
        <v>0</v>
      </c>
      <c r="BD29" s="164">
        <f>Table211123[[#This Row],[2028]]/(Revenues!$N28*Dashboard!$E$26)</f>
        <v>70</v>
      </c>
      <c r="BE29" s="164">
        <f>Table211123[[#This Row],[2029]]/(Revenues!$N28*Dashboard!$E$26)</f>
        <v>81.808695652173924</v>
      </c>
      <c r="BF29" s="164">
        <f>Table211123[[#This Row],[2030]]/(Revenues!$N28*Dashboard!$E$26)</f>
        <v>93.800000000000011</v>
      </c>
      <c r="BG29" s="164">
        <f>Table211123[[#This Row],[2031]]/(Revenues!$N28*Dashboard!$E$26)</f>
        <v>96.417391304347817</v>
      </c>
      <c r="BH29" s="164">
        <f>Table211123[[#This Row],[2032]]/(Revenues!$N28*Dashboard!$E$26)</f>
        <v>97.147826086956528</v>
      </c>
      <c r="BI29" s="51">
        <f>SUM(Table21112321[[#This Row],[2026]:[2032]])</f>
        <v>439.17391304347825</v>
      </c>
      <c r="BJ29" s="55"/>
    </row>
    <row r="30" spans="1:62" x14ac:dyDescent="0.35">
      <c r="A30" t="s">
        <v>26</v>
      </c>
      <c r="B30" s="134">
        <f>Revenues!CG62</f>
        <v>118.41675655745881</v>
      </c>
      <c r="C30" s="69">
        <f>Revenues!CH62</f>
        <v>176.35008989079213</v>
      </c>
      <c r="D30" s="128">
        <f>Revenues!CI62</f>
        <v>222.23827072064876</v>
      </c>
      <c r="E30" s="128">
        <f>Revenues!CJ62</f>
        <v>278.0245954147469</v>
      </c>
      <c r="F30" s="128">
        <f>Revenues!CK62</f>
        <v>237.34369515894269</v>
      </c>
      <c r="G30" s="128">
        <f>Revenues!CL62</f>
        <v>233.29714592335569</v>
      </c>
      <c r="H30" s="128">
        <f>Revenues!CM62</f>
        <v>222.44524796541333</v>
      </c>
      <c r="I30" s="51">
        <f>SUM(Table21112327[[#This Row],[2026]:[2032]])</f>
        <v>1488.1158016313582</v>
      </c>
      <c r="J30" s="55"/>
      <c r="K30" t="s">
        <v>26</v>
      </c>
      <c r="L30" s="164"/>
      <c r="M30" s="128">
        <f>IF(Dashboard!$C$3=2027,Dashboard!$C$26*Revenues!$N29*Dashboard!$E$26,0)</f>
        <v>0</v>
      </c>
      <c r="N30" s="128">
        <f>IF(Dashboard!$C$3=2027,Dashboard!$C$26*Revenues!$N29*(Dashboard!$E$26-(X$39-$W$39)*2/100)*(1+(Revenues!AV$8-Revenues!$AU$8)/Revenues!$AU$8),Dashboard!$C$26*Revenues!$N29*Dashboard!$E$26)</f>
        <v>74.34</v>
      </c>
      <c r="O30" s="128">
        <f>IF(Dashboard!$C$3=2027,Dashboard!$C$26*Revenues!$N29*(Dashboard!$E$26-(Y$39-$W$39)*2/100)*(1+(Revenues!AW$8-Revenues!$AU$8)/Revenues!$AU$8),Dashboard!$C$26*Revenues!$N29*(Dashboard!$E$26-(Y$39-$X$39)*2/100)*(1+(Revenues!AW$8-Revenues!$AV$8)/Revenues!$AV$8))</f>
        <v>86.880834782608702</v>
      </c>
      <c r="P30" s="128">
        <f>IF(Dashboard!$C$3=2027,Dashboard!$C$26*Revenues!$N29*(Dashboard!$E$26-(Z$39-$W$39)*2/100)*(1+(Revenues!AX$8-Revenues!$AU$8)/Revenues!$AU$8),Dashboard!$C$26*Revenues!$N29*(Dashboard!$E$26-(Z$39-$X$39)*2/100)*(1+(Revenues!AX$8-Revenues!$AV$8)/Revenues!$AV$8))</f>
        <v>99.615600000000015</v>
      </c>
      <c r="Q30" s="128">
        <f>IF(Dashboard!$C$3=2027,Dashboard!$C$26*Revenues!$N29*(Dashboard!$E$26-(AA$39-$W$39)*2/100)*(1+(Revenues!AY$8-Revenues!$AU$8)/Revenues!$AU$8),Dashboard!$C$26*Revenues!$N29*(Dashboard!$E$26-(AA$39-$X$39)*2/100)*(1+(Revenues!AY$8-Revenues!$AV$8)/Revenues!$AV$8))</f>
        <v>102.39526956521739</v>
      </c>
      <c r="R30" s="128">
        <f>IF(Dashboard!$C$3=2027,Dashboard!$C$26*Revenues!$N29*(Dashboard!$E$26-(AB$39-$W$39)*2/100)*(1+(Revenues!AZ$8-Revenues!$AU$8)/Revenues!$AU$8),Dashboard!$C$26*Revenues!$N29*(Dashboard!$E$26-(AB$39-$X$39)*2/100)*(1+(Revenues!AZ$8-Revenues!$AV$8)/Revenues!$AV$8))</f>
        <v>103.17099130434782</v>
      </c>
      <c r="S30" s="51">
        <f>SUM(Table211123[[#This Row],[2026]:[2032]])</f>
        <v>466.40269565217392</v>
      </c>
      <c r="T30" s="55"/>
      <c r="U30" t="s">
        <v>26</v>
      </c>
      <c r="V30" s="132">
        <f>Dashboard!$C$28*Revenues!$N29*($AC$3+12*($AC$2-$AC$4))</f>
        <v>57.348000000000006</v>
      </c>
      <c r="W30" s="132">
        <f>Dashboard!$C$28*Revenues!$N29*($AC$3+12*($AC$2-$AC$4)*(1+W$3))</f>
        <v>82.836000000000013</v>
      </c>
      <c r="X30" s="69">
        <f>Dashboard!$C$28*Revenues!$N29*($AC$3+12*($AC$2-$AC$4)*(1+X$3))</f>
        <v>95.580000000000013</v>
      </c>
      <c r="Y30" s="69">
        <f>Dashboard!$C$28*Revenues!$N29*($AC$3+12*($AC$2-$AC$4)*(1+Y$3))</f>
        <v>95.580000000000013</v>
      </c>
      <c r="Z30" s="69">
        <f>Dashboard!$C$28*Revenues!$N29*($AC$3+12*($AC$2-$AC$4)*(1+Z$3))</f>
        <v>95.580000000000013</v>
      </c>
      <c r="AA30" s="69">
        <f>Dashboard!$C$28*Revenues!$N29*($AC$3+12*($AC$2-$AC$4)*(1+AA$3))</f>
        <v>95.580000000000013</v>
      </c>
      <c r="AB30" s="69">
        <f>Dashboard!$C$28*Revenues!$N29*($AC$3+12*($AC$2-$AC$4)*(1+AB$3))</f>
        <v>95.580000000000013</v>
      </c>
      <c r="AC30" s="51">
        <f>SUM(Table21112325[[#This Row],[2026]:[2032]])</f>
        <v>618.08400000000017</v>
      </c>
      <c r="AD30" s="55"/>
      <c r="AE30" s="150" t="s">
        <v>26</v>
      </c>
      <c r="AF30" s="69">
        <f>Dashboard!$C$35*B64*(V64*Dashboard!$C$34)+Dashboard!$C$38*Dashboard!$C$36*B64*(V64*Dashboard!$C$34)</f>
        <v>7109561.181265628</v>
      </c>
      <c r="AG30" s="69">
        <f>Dashboard!$C$35*C64*(W64*Dashboard!$C$34)+Dashboard!$C$38*Dashboard!$C$36*C64*(W64*Dashboard!$C$34)+Dashboard!$C$38*B64*Dashboard!$C$36*14/15*(V64*Dashboard!$C$34)</f>
        <v>6761063.7749465546</v>
      </c>
      <c r="AH30" s="69">
        <f>Dashboard!$C$35*D64*(X64*Dashboard!$C$34)+Dashboard!$C$38*Dashboard!$C$36*D64*(X64*Dashboard!$C$34)+Dashboard!$C$38*B64*Dashboard!$C$36*13/15*(V64*Dashboard!$C$34)+Dashboard!$C$38*C64*Dashboard!$C$36*14/15*(W64*Dashboard!$C$34)</f>
        <v>6446585.8898234349</v>
      </c>
      <c r="AI30" s="69">
        <f>Dashboard!$C$35*E64*(Y64*Dashboard!$C$34)+Dashboard!$C$38*Dashboard!$C$36*E64*(Y64*Dashboard!$C$34)+Dashboard!$C$38*B64*Dashboard!$C$36*12/15*(V64*Dashboard!$C$34)+Dashboard!$C$38*C64*Dashboard!$C$36*13/15*(W64*Dashboard!$C$34)+Dashboard!$C$38*D64*Dashboard!$C$36*14/15*(X64*Dashboard!$C$34)</f>
        <v>6255581.7351878975</v>
      </c>
      <c r="AJ30" s="69">
        <f>Dashboard!$C$35*F64*(Z64*Dashboard!$C$34)+Dashboard!$C$38*Dashboard!$C$36*F64*(Z64*Dashboard!$C$34)+Dashboard!$C$38*B64*Dashboard!$C$36*11/15*(V64*Dashboard!$C$34)+Dashboard!$C$38*C64*Dashboard!$C$36*12/15*(W64*Dashboard!$C$34)+Dashboard!$C$38*D64*Dashboard!$C$36*13/15*(X64*Dashboard!$C$34)+Dashboard!$C$38*E64*Dashboard!$C$36*14/15*(Y64*Dashboard!$C$34)</f>
        <v>6183461.7109139152</v>
      </c>
      <c r="AK30" s="69">
        <f>Dashboard!$C$35*G64*(AA64*Dashboard!$C$34)+Dashboard!$C$38*Dashboard!$C$36*G64*(AA64*Dashboard!$C$34)+Dashboard!$C$38*B64*Dashboard!$C$36*10/15*(V64*Dashboard!$C$34)+Dashboard!$C$38*C64*Dashboard!$C$36*11/15*(W64*Dashboard!$C$34)+Dashboard!$C$38*D64*Dashboard!$C$36*12/15*(X64*Dashboard!$C$34)+Dashboard!$C$38*E64*Dashboard!$C$36*13/15*(Y64*Dashboard!$C$34)+Dashboard!$C$38*F64*Dashboard!$C$36*14/15*(Z64*Dashboard!$C$34)</f>
        <v>6106507.6940892702</v>
      </c>
      <c r="AL30" s="69">
        <f>Dashboard!$C$35*H64*(AB64*Dashboard!$C$34)+Dashboard!$C$38*Dashboard!$C$36*H64*(AB64*Dashboard!$C$34)+Dashboard!$C$38*Dashboard!$C$36*B64*9/15*(V64*Dashboard!$C$34)+Dashboard!$C$38*C64*Dashboard!$C$36*10/15*(W64*Dashboard!$C$34)+Dashboard!$C$38*D64*Dashboard!$C$36*11/15*(X64*Dashboard!$C$34)+Dashboard!$C$38*E64*Dashboard!$C$36*12/15*(Y64*Dashboard!$C$34)+Dashboard!$C$38*F64*Dashboard!$C$36*13/15*(Z64*Dashboard!$C$34)+Dashboard!$C$38*G64*Dashboard!$C$36*14/15*(AA64*Dashboard!$C$34)</f>
        <v>6029468.1879040152</v>
      </c>
      <c r="AO30" s="147"/>
      <c r="AP30" s="150" t="s">
        <v>26</v>
      </c>
      <c r="AQ30" s="258">
        <f>Tabelle8[[#This Row],[2026]]/1000000</f>
        <v>7.1095611812656276</v>
      </c>
      <c r="AR30" s="258">
        <f>Tabelle8[[#This Row],[2027]]/1000000</f>
        <v>6.761063774946555</v>
      </c>
      <c r="AS30" s="258">
        <f>Tabelle8[[#This Row],[2028]]/1000000</f>
        <v>6.4465858898234352</v>
      </c>
      <c r="AT30" s="258">
        <f>Tabelle8[[#This Row],[2029]]/1000000</f>
        <v>6.2555817351878975</v>
      </c>
      <c r="AU30" s="258">
        <f>Tabelle8[[#This Row],[2030]]/1000000</f>
        <v>6.1834617109139156</v>
      </c>
      <c r="AV30" s="258">
        <f>Tabelle8[[#This Row],[2031]]/1000000</f>
        <v>6.1065076940892702</v>
      </c>
      <c r="AW30" s="258">
        <f>Tabelle8[[#This Row],[2032]]/1000000</f>
        <v>6.0294681879040155</v>
      </c>
      <c r="AX30" s="69">
        <f>Tabelle8[[#This Row],[2033]]/1000000</f>
        <v>0</v>
      </c>
      <c r="AY30" s="69">
        <f>Tabelle8[[#This Row],[2034]]/1000000</f>
        <v>0</v>
      </c>
      <c r="AZ30" s="76">
        <f>Tabelle8[[#This Row],[2035]]/1000000</f>
        <v>0</v>
      </c>
      <c r="BA30" t="s">
        <v>26</v>
      </c>
      <c r="BB30" s="164">
        <f>Table211123[[#This Row],[2026]]/(Revenues!$N29*Dashboard!$E$26)</f>
        <v>0</v>
      </c>
      <c r="BC30" s="164">
        <f>Table211123[[#This Row],[2027]]/(Revenues!$N29*Dashboard!$E$26)</f>
        <v>0</v>
      </c>
      <c r="BD30" s="164">
        <f>Table211123[[#This Row],[2028]]/(Revenues!$N29*Dashboard!$E$26)</f>
        <v>70</v>
      </c>
      <c r="BE30" s="164">
        <f>Table211123[[#This Row],[2029]]/(Revenues!$N29*Dashboard!$E$26)</f>
        <v>81.80869565217391</v>
      </c>
      <c r="BF30" s="164">
        <f>Table211123[[#This Row],[2030]]/(Revenues!$N29*Dashboard!$E$26)</f>
        <v>93.800000000000011</v>
      </c>
      <c r="BG30" s="164">
        <f>Table211123[[#This Row],[2031]]/(Revenues!$N29*Dashboard!$E$26)</f>
        <v>96.417391304347817</v>
      </c>
      <c r="BH30" s="164">
        <f>Table211123[[#This Row],[2032]]/(Revenues!$N29*Dashboard!$E$26)</f>
        <v>97.147826086956513</v>
      </c>
      <c r="BI30" s="51">
        <f>SUM(Table21112321[[#This Row],[2026]:[2032]])</f>
        <v>439.17391304347825</v>
      </c>
      <c r="BJ30" s="55"/>
    </row>
    <row r="31" spans="1:62" x14ac:dyDescent="0.35">
      <c r="A31" t="s">
        <v>27</v>
      </c>
      <c r="B31" s="134">
        <f>Revenues!CG63</f>
        <v>1896.0167290857139</v>
      </c>
      <c r="C31" s="69">
        <f>Revenues!CH63</f>
        <v>3004.1233957523805</v>
      </c>
      <c r="D31" s="128">
        <f>Revenues!CI63</f>
        <v>3621.339386072088</v>
      </c>
      <c r="E31" s="128">
        <f>Revenues!CJ63</f>
        <v>4470.6839627916343</v>
      </c>
      <c r="F31" s="128">
        <f>Revenues!CK63</f>
        <v>3844.0396228983077</v>
      </c>
      <c r="G31" s="128">
        <f>Revenues!CL63</f>
        <v>3775.8114165548536</v>
      </c>
      <c r="H31" s="128">
        <f>Revenues!CM63</f>
        <v>3601.3537566789696</v>
      </c>
      <c r="I31" s="51">
        <f>SUM(Table21112327[[#This Row],[2026]:[2032]])</f>
        <v>24213.368269833951</v>
      </c>
      <c r="J31" s="55"/>
      <c r="K31" t="s">
        <v>27</v>
      </c>
      <c r="L31" s="164"/>
      <c r="M31" s="128">
        <f>IF(Dashboard!$C$3=2027,Dashboard!$C$26*Revenues!$N30*Dashboard!$E$26,0)</f>
        <v>0</v>
      </c>
      <c r="N31" s="128">
        <f>IF(Dashboard!$C$3=2027,Dashboard!$C$26*Revenues!$N30*(Dashboard!$E$26-(X$39-$W$39)*2/100)*(1+(Revenues!AV$8-Revenues!$AU$8)/Revenues!$AU$8),Dashboard!$C$26*Revenues!$N30*Dashboard!$E$26)</f>
        <v>1701.6999999999998</v>
      </c>
      <c r="O31" s="128">
        <f>IF(Dashboard!$C$3=2027,Dashboard!$C$26*Revenues!$N30*(Dashboard!$E$26-(Y$39-$W$39)*2/100)*(1+(Revenues!AW$8-Revenues!$AU$8)/Revenues!$AU$8),Dashboard!$C$26*Revenues!$N30*(Dashboard!$E$26-(Y$39-$X$39)*2/100)*(1+(Revenues!AW$8-Revenues!$AV$8)/Revenues!$AV$8))</f>
        <v>1988.7693913043477</v>
      </c>
      <c r="P31" s="128">
        <f>IF(Dashboard!$C$3=2027,Dashboard!$C$26*Revenues!$N30*(Dashboard!$E$26-(Z$39-$W$39)*2/100)*(1+(Revenues!AX$8-Revenues!$AU$8)/Revenues!$AU$8),Dashboard!$C$26*Revenues!$N30*(Dashboard!$E$26-(Z$39-$X$39)*2/100)*(1+(Revenues!AX$8-Revenues!$AV$8)/Revenues!$AV$8))</f>
        <v>2280.2779999999998</v>
      </c>
      <c r="Q31" s="128">
        <f>IF(Dashboard!$C$3=2027,Dashboard!$C$26*Revenues!$N30*(Dashboard!$E$26-(AA$39-$W$39)*2/100)*(1+(Revenues!AY$8-Revenues!$AU$8)/Revenues!$AU$8),Dashboard!$C$26*Revenues!$N30*(Dashboard!$E$26-(AA$39-$X$39)*2/100)*(1+(Revenues!AY$8-Revenues!$AV$8)/Revenues!$AV$8))</f>
        <v>2343.9067826086953</v>
      </c>
      <c r="R31" s="128">
        <f>IF(Dashboard!$C$3=2027,Dashboard!$C$26*Revenues!$N30*(Dashboard!$E$26-(AB$39-$W$39)*2/100)*(1+(Revenues!AZ$8-Revenues!$AU$8)/Revenues!$AU$8),Dashboard!$C$26*Revenues!$N30*(Dashboard!$E$26-(AB$39-$X$39)*2/100)*(1+(Revenues!AZ$8-Revenues!$AV$8)/Revenues!$AV$8))</f>
        <v>2361.6636521739129</v>
      </c>
      <c r="S31" s="51">
        <f>SUM(Table211123[[#This Row],[2026]:[2032]])</f>
        <v>10676.317826086955</v>
      </c>
      <c r="T31" s="55"/>
      <c r="U31" t="s">
        <v>27</v>
      </c>
      <c r="V31" s="132">
        <f>Dashboard!$C$28*Revenues!$N30*($AC$3+12*($AC$2-$AC$4))</f>
        <v>1312.74</v>
      </c>
      <c r="W31" s="132">
        <f>Dashboard!$C$28*Revenues!$N30*($AC$3+12*($AC$2-$AC$4)*(1+W$3))</f>
        <v>1896.1799999999998</v>
      </c>
      <c r="X31" s="69">
        <f>Dashboard!$C$28*Revenues!$N30*($AC$3+12*($AC$2-$AC$4)*(1+X$3))</f>
        <v>2187.8999999999996</v>
      </c>
      <c r="Y31" s="69">
        <f>Dashboard!$C$28*Revenues!$N30*($AC$3+12*($AC$2-$AC$4)*(1+Y$3))</f>
        <v>2187.8999999999996</v>
      </c>
      <c r="Z31" s="69">
        <f>Dashboard!$C$28*Revenues!$N30*($AC$3+12*($AC$2-$AC$4)*(1+Z$3))</f>
        <v>2187.8999999999996</v>
      </c>
      <c r="AA31" s="69">
        <f>Dashboard!$C$28*Revenues!$N30*($AC$3+12*($AC$2-$AC$4)*(1+AA$3))</f>
        <v>2187.8999999999996</v>
      </c>
      <c r="AB31" s="69">
        <f>Dashboard!$C$28*Revenues!$N30*($AC$3+12*($AC$2-$AC$4)*(1+AB$3))</f>
        <v>2187.8999999999996</v>
      </c>
      <c r="AC31" s="51">
        <f>SUM(Table21112325[[#This Row],[2026]:[2032]])</f>
        <v>14148.419999999998</v>
      </c>
      <c r="AD31" s="55"/>
      <c r="AE31" s="150" t="s">
        <v>27</v>
      </c>
      <c r="AF31" s="69">
        <f>Dashboard!$C$35*B65*(V65*Dashboard!$C$34)+Dashboard!$C$38*Dashboard!$C$36*B65*(V65*Dashboard!$C$34)</f>
        <v>96171021.34920001</v>
      </c>
      <c r="AG31" s="69">
        <f>Dashboard!$C$35*C65*(W65*Dashboard!$C$34)+Dashboard!$C$38*Dashboard!$C$36*C65*(W65*Dashboard!$C$34)+Dashboard!$C$38*B65*Dashboard!$C$36*14/15*(V65*Dashboard!$C$34)</f>
        <v>96674996.207804009</v>
      </c>
      <c r="AH31" s="69">
        <f>Dashboard!$C$35*D65*(X65*Dashboard!$C$34)+Dashboard!$C$38*Dashboard!$C$36*D65*(X65*Dashboard!$C$34)+Dashboard!$C$38*B65*Dashboard!$C$36*13/15*(V65*Dashboard!$C$34)+Dashboard!$C$38*C65*Dashboard!$C$36*14/15*(W65*Dashboard!$C$34)</f>
        <v>93894161.286789387</v>
      </c>
      <c r="AI31" s="69">
        <f>Dashboard!$C$35*E65*(Y65*Dashboard!$C$34)+Dashboard!$C$38*Dashboard!$C$36*E65*(Y65*Dashboard!$C$34)+Dashboard!$C$38*B65*Dashboard!$C$36*12/15*(V65*Dashboard!$C$34)+Dashboard!$C$38*C65*Dashboard!$C$36*13/15*(W65*Dashboard!$C$34)+Dashboard!$C$38*D65*Dashboard!$C$36*14/15*(X65*Dashboard!$C$34)</f>
        <v>93721711.192202479</v>
      </c>
      <c r="AJ31" s="69">
        <f>Dashboard!$C$35*F65*(Z65*Dashboard!$C$34)+Dashboard!$C$38*Dashboard!$C$36*F65*(Z65*Dashboard!$C$34)+Dashboard!$C$38*B65*Dashboard!$C$36*11/15*(V65*Dashboard!$C$34)+Dashboard!$C$38*C65*Dashboard!$C$36*12/15*(W65*Dashboard!$C$34)+Dashboard!$C$38*D65*Dashboard!$C$36*13/15*(X65*Dashboard!$C$34)+Dashboard!$C$38*E65*Dashboard!$C$36*14/15*(Y65*Dashboard!$C$34)</f>
        <v>91866033.199448898</v>
      </c>
      <c r="AK31" s="69">
        <f>Dashboard!$C$35*G65*(AA65*Dashboard!$C$34)+Dashboard!$C$38*Dashboard!$C$36*G65*(AA65*Dashboard!$C$34)+Dashboard!$C$38*B65*Dashboard!$C$36*10/15*(V65*Dashboard!$C$34)+Dashboard!$C$38*C65*Dashboard!$C$36*11/15*(W65*Dashboard!$C$34)+Dashboard!$C$38*D65*Dashboard!$C$36*12/15*(X65*Dashboard!$C$34)+Dashboard!$C$38*E65*Dashboard!$C$36*13/15*(Y65*Dashboard!$C$34)+Dashboard!$C$38*F65*Dashboard!$C$36*14/15*(Z65*Dashboard!$C$34)</f>
        <v>90357520.669919401</v>
      </c>
      <c r="AL31" s="69">
        <f>Dashboard!$C$35*H65*(AB65*Dashboard!$C$34)+Dashboard!$C$38*Dashboard!$C$36*H65*(AB65*Dashboard!$C$34)+Dashboard!$C$38*Dashboard!$C$36*B65*9/15*(V65*Dashboard!$C$34)+Dashboard!$C$38*C65*Dashboard!$C$36*10/15*(W65*Dashboard!$C$34)+Dashboard!$C$38*D65*Dashboard!$C$36*11/15*(X65*Dashboard!$C$34)+Dashboard!$C$38*E65*Dashboard!$C$36*12/15*(Y65*Dashboard!$C$34)+Dashboard!$C$38*F65*Dashboard!$C$36*13/15*(Z65*Dashboard!$C$34)+Dashboard!$C$38*G65*Dashboard!$C$36*14/15*(AA65*Dashboard!$C$34)</f>
        <v>88995345.565197662</v>
      </c>
      <c r="AO31" s="147"/>
      <c r="AP31" s="150" t="s">
        <v>27</v>
      </c>
      <c r="AQ31" s="258">
        <f>Tabelle8[[#This Row],[2026]]/1000000</f>
        <v>96.171021349200004</v>
      </c>
      <c r="AR31" s="258">
        <f>Tabelle8[[#This Row],[2027]]/1000000</f>
        <v>96.674996207804014</v>
      </c>
      <c r="AS31" s="258">
        <f>Tabelle8[[#This Row],[2028]]/1000000</f>
        <v>93.894161286789384</v>
      </c>
      <c r="AT31" s="258">
        <f>Tabelle8[[#This Row],[2029]]/1000000</f>
        <v>93.721711192202477</v>
      </c>
      <c r="AU31" s="258">
        <f>Tabelle8[[#This Row],[2030]]/1000000</f>
        <v>91.866033199448893</v>
      </c>
      <c r="AV31" s="258">
        <f>Tabelle8[[#This Row],[2031]]/1000000</f>
        <v>90.357520669919396</v>
      </c>
      <c r="AW31" s="258">
        <f>Tabelle8[[#This Row],[2032]]/1000000</f>
        <v>88.995345565197667</v>
      </c>
      <c r="AX31" s="69">
        <f>Tabelle8[[#This Row],[2033]]/1000000</f>
        <v>0</v>
      </c>
      <c r="AY31" s="69">
        <f>Tabelle8[[#This Row],[2034]]/1000000</f>
        <v>0</v>
      </c>
      <c r="AZ31" s="76">
        <f>Tabelle8[[#This Row],[2035]]/1000000</f>
        <v>0</v>
      </c>
      <c r="BA31" t="s">
        <v>27</v>
      </c>
      <c r="BB31" s="164">
        <f>Table211123[[#This Row],[2026]]/(Revenues!$N30*Dashboard!$E$26)</f>
        <v>0</v>
      </c>
      <c r="BC31" s="164">
        <f>Table211123[[#This Row],[2027]]/(Revenues!$N30*Dashboard!$E$26)</f>
        <v>0</v>
      </c>
      <c r="BD31" s="164">
        <f>Table211123[[#This Row],[2028]]/(Revenues!$N30*Dashboard!$E$26)</f>
        <v>70</v>
      </c>
      <c r="BE31" s="164">
        <f>Table211123[[#This Row],[2029]]/(Revenues!$N30*Dashboard!$E$26)</f>
        <v>81.80869565217391</v>
      </c>
      <c r="BF31" s="164">
        <f>Table211123[[#This Row],[2030]]/(Revenues!$N30*Dashboard!$E$26)</f>
        <v>93.8</v>
      </c>
      <c r="BG31" s="164">
        <f>Table211123[[#This Row],[2031]]/(Revenues!$N30*Dashboard!$E$26)</f>
        <v>96.417391304347817</v>
      </c>
      <c r="BH31" s="164">
        <f>Table211123[[#This Row],[2032]]/(Revenues!$N30*Dashboard!$E$26)</f>
        <v>97.147826086956513</v>
      </c>
      <c r="BI31" s="51">
        <f>SUM(Table21112321[[#This Row],[2026]:[2032]])</f>
        <v>439.17391304347825</v>
      </c>
      <c r="BJ31" s="55"/>
    </row>
    <row r="32" spans="1:62" x14ac:dyDescent="0.35">
      <c r="A32" t="s">
        <v>28</v>
      </c>
      <c r="B32" s="135">
        <f>Revenues!CG64</f>
        <v>267.10809853881295</v>
      </c>
      <c r="C32" s="69">
        <f>Revenues!CH64</f>
        <v>332.41476520547963</v>
      </c>
      <c r="D32" s="128">
        <f>Revenues!CI64</f>
        <v>478.48084305403415</v>
      </c>
      <c r="E32" s="128">
        <f>Revenues!CJ64</f>
        <v>620.20372276129706</v>
      </c>
      <c r="F32" s="128">
        <f>Revenues!CK64</f>
        <v>519.49167016509955</v>
      </c>
      <c r="G32" s="128">
        <f>Revenues!CL64</f>
        <v>511.60882404308057</v>
      </c>
      <c r="H32" s="128">
        <f>Revenues!CM64</f>
        <v>487.38545683396359</v>
      </c>
      <c r="I32" s="53">
        <f>SUM(Table21112327[[#This Row],[2026]:[2032]])</f>
        <v>3216.6933806017669</v>
      </c>
      <c r="J32" s="62"/>
      <c r="K32" t="s">
        <v>28</v>
      </c>
      <c r="L32" s="164"/>
      <c r="M32" s="128">
        <f>IF(Dashboard!$C$3=2027,Dashboard!$C$26*Revenues!$N31*Dashboard!$E$26,0)</f>
        <v>0</v>
      </c>
      <c r="N32" s="128">
        <f>IF(Dashboard!$C$3=2027,Dashboard!$C$26*Revenues!$N31*(Dashboard!$E$26-(X$39-$W$39)*2/100)*(1+(Revenues!AV$8-Revenues!$AU$8)/Revenues!$AU$8),Dashboard!$C$26*Revenues!$N31*Dashboard!$E$26)</f>
        <v>369.32</v>
      </c>
      <c r="O32" s="128">
        <f>IF(Dashboard!$C$3=2027,Dashboard!$C$26*Revenues!$N31*(Dashboard!$E$26-(Y$39-$W$39)*2/100)*(1+(Revenues!AW$8-Revenues!$AU$8)/Revenues!$AU$8),Dashboard!$C$26*Revenues!$N31*(Dashboard!$E$26-(Y$39-$X$39)*2/100)*(1+(Revenues!AW$8-Revenues!$AV$8)/Revenues!$AV$8))</f>
        <v>431.62267826086958</v>
      </c>
      <c r="P32" s="128">
        <f>IF(Dashboard!$C$3=2027,Dashboard!$C$26*Revenues!$N31*(Dashboard!$E$26-(Z$39-$W$39)*2/100)*(1+(Revenues!AX$8-Revenues!$AU$8)/Revenues!$AU$8),Dashboard!$C$26*Revenues!$N31*(Dashboard!$E$26-(Z$39-$X$39)*2/100)*(1+(Revenues!AX$8-Revenues!$AV$8)/Revenues!$AV$8))</f>
        <v>494.8888</v>
      </c>
      <c r="Q32" s="128">
        <f>IF(Dashboard!$C$3=2027,Dashboard!$C$26*Revenues!$N31*(Dashboard!$E$26-(AA$39-$W$39)*2/100)*(1+(Revenues!AY$8-Revenues!$AU$8)/Revenues!$AU$8),Dashboard!$C$26*Revenues!$N31*(Dashboard!$E$26-(AA$39-$X$39)*2/100)*(1+(Revenues!AY$8-Revenues!$AV$8)/Revenues!$AV$8))</f>
        <v>508.69815652173907</v>
      </c>
      <c r="R32" s="128">
        <f>IF(Dashboard!$C$3=2027,Dashboard!$C$26*Revenues!$N31*(Dashboard!$E$26-(AB$39-$W$39)*2/100)*(1+(Revenues!AZ$8-Revenues!$AU$8)/Revenues!$AU$8),Dashboard!$C$26*Revenues!$N31*(Dashboard!$E$26-(AB$39-$X$39)*2/100)*(1+(Revenues!AZ$8-Revenues!$AV$8)/Revenues!$AV$8))</f>
        <v>512.55193043478255</v>
      </c>
      <c r="S32" s="53">
        <f>SUM(Table211123[[#This Row],[2026]:[2032]])</f>
        <v>2317.081565217391</v>
      </c>
      <c r="T32" s="62"/>
      <c r="U32" t="s">
        <v>28</v>
      </c>
      <c r="V32" s="133">
        <f>Dashboard!$C$28*Revenues!$N31*($AC$3+12*($AC$2-$AC$4))</f>
        <v>284.904</v>
      </c>
      <c r="W32" s="132">
        <f>Dashboard!$C$28*Revenues!$N31*($AC$3+12*($AC$2-$AC$4)*(1+W$3))</f>
        <v>411.52800000000002</v>
      </c>
      <c r="X32" s="69">
        <f>Dashboard!$C$28*Revenues!$N31*($AC$3+12*($AC$2-$AC$4)*(1+X$3))</f>
        <v>474.84000000000003</v>
      </c>
      <c r="Y32" s="69">
        <f>Dashboard!$C$28*Revenues!$N31*($AC$3+12*($AC$2-$AC$4)*(1+Y$3))</f>
        <v>474.84000000000003</v>
      </c>
      <c r="Z32" s="69">
        <f>Dashboard!$C$28*Revenues!$N31*($AC$3+12*($AC$2-$AC$4)*(1+Z$3))</f>
        <v>474.84000000000003</v>
      </c>
      <c r="AA32" s="69">
        <f>Dashboard!$C$28*Revenues!$N31*($AC$3+12*($AC$2-$AC$4)*(1+AA$3))</f>
        <v>474.84000000000003</v>
      </c>
      <c r="AB32" s="69">
        <f>Dashboard!$C$28*Revenues!$N31*($AC$3+12*($AC$2-$AC$4)*(1+AB$3))</f>
        <v>474.84000000000003</v>
      </c>
      <c r="AC32" s="53">
        <f>SUM(Table21112325[[#This Row],[2026]:[2032]])</f>
        <v>3070.6320000000005</v>
      </c>
      <c r="AD32" s="62"/>
      <c r="AE32" s="150" t="s">
        <v>28</v>
      </c>
      <c r="AF32" s="69">
        <f>Dashboard!$C$35*B66*(V66*Dashboard!$C$34)+Dashboard!$C$38*Dashboard!$C$36*B66*(V66*Dashboard!$C$34)</f>
        <v>46636218.635257751</v>
      </c>
      <c r="AG32" s="69">
        <f>Dashboard!$C$35*C66*(W66*Dashboard!$C$34)+Dashboard!$C$38*Dashboard!$C$36*C66*(W66*Dashboard!$C$34)+Dashboard!$C$38*B66*Dashboard!$C$36*14/15*(V66*Dashboard!$C$34)</f>
        <v>44350198.328161471</v>
      </c>
      <c r="AH32" s="69">
        <f>Dashboard!$C$35*D66*(X66*Dashboard!$C$34)+Dashboard!$C$38*Dashboard!$C$36*D66*(X66*Dashboard!$C$34)+Dashboard!$C$38*B66*Dashboard!$C$36*13/15*(V66*Dashboard!$C$34)+Dashboard!$C$38*C66*Dashboard!$C$36*14/15*(W66*Dashboard!$C$34)</f>
        <v>42287334.10452953</v>
      </c>
      <c r="AI32" s="69">
        <f>Dashboard!$C$35*E66*(Y66*Dashboard!$C$34)+Dashboard!$C$38*Dashboard!$C$36*E66*(Y66*Dashboard!$C$34)+Dashboard!$C$38*B66*Dashboard!$C$36*12/15*(V66*Dashboard!$C$34)+Dashboard!$C$38*C66*Dashboard!$C$36*13/15*(W66*Dashboard!$C$34)+Dashboard!$C$38*D66*Dashboard!$C$36*14/15*(X66*Dashboard!$C$34)</f>
        <v>41034414.087567285</v>
      </c>
      <c r="AJ32" s="69">
        <f>Dashboard!$C$35*F66*(Z66*Dashboard!$C$34)+Dashboard!$C$38*Dashboard!$C$36*F66*(Z66*Dashboard!$C$34)+Dashboard!$C$38*B66*Dashboard!$C$36*11/15*(V66*Dashboard!$C$34)+Dashboard!$C$38*C66*Dashboard!$C$36*12/15*(W66*Dashboard!$C$34)+Dashboard!$C$38*D66*Dashboard!$C$36*13/15*(X66*Dashboard!$C$34)+Dashboard!$C$38*E66*Dashboard!$C$36*14/15*(Y66*Dashboard!$C$34)</f>
        <v>40561332.116082959</v>
      </c>
      <c r="AK32" s="69">
        <f>Dashboard!$C$35*G66*(AA66*Dashboard!$C$34)+Dashboard!$C$38*Dashboard!$C$36*G66*(AA66*Dashboard!$C$34)+Dashboard!$C$38*B66*Dashboard!$C$36*10/15*(V66*Dashboard!$C$34)+Dashboard!$C$38*C66*Dashboard!$C$36*11/15*(W66*Dashboard!$C$34)+Dashboard!$C$38*D66*Dashboard!$C$36*12/15*(X66*Dashboard!$C$34)+Dashboard!$C$38*E66*Dashboard!$C$36*13/15*(Y66*Dashboard!$C$34)+Dashboard!$C$38*F66*Dashboard!$C$36*14/15*(Z66*Dashboard!$C$34)</f>
        <v>40056540.855132498</v>
      </c>
      <c r="AL32" s="69">
        <f>Dashboard!$C$35*H66*(AB66*Dashboard!$C$34)+Dashboard!$C$38*Dashboard!$C$36*H66*(AB66*Dashboard!$C$34)+Dashboard!$C$38*Dashboard!$C$36*B66*9/15*(V66*Dashboard!$C$34)+Dashboard!$C$38*C66*Dashboard!$C$36*10/15*(W66*Dashboard!$C$34)+Dashboard!$C$38*D66*Dashboard!$C$36*11/15*(X66*Dashboard!$C$34)+Dashboard!$C$38*E66*Dashboard!$C$36*12/15*(Y66*Dashboard!$C$34)+Dashboard!$C$38*F66*Dashboard!$C$36*13/15*(Z66*Dashboard!$C$34)+Dashboard!$C$38*G66*Dashboard!$C$36*14/15*(AA66*Dashboard!$C$34)</f>
        <v>39551188.8140705</v>
      </c>
      <c r="AO32" s="147"/>
      <c r="AP32" s="150" t="s">
        <v>28</v>
      </c>
      <c r="AQ32" s="258">
        <f>Tabelle8[[#This Row],[2026]]/1000000</f>
        <v>46.636218635257748</v>
      </c>
      <c r="AR32" s="258">
        <f>Tabelle8[[#This Row],[2027]]/1000000</f>
        <v>44.350198328161468</v>
      </c>
      <c r="AS32" s="258">
        <f>Tabelle8[[#This Row],[2028]]/1000000</f>
        <v>42.287334104529528</v>
      </c>
      <c r="AT32" s="258">
        <f>Tabelle8[[#This Row],[2029]]/1000000</f>
        <v>41.034414087567285</v>
      </c>
      <c r="AU32" s="258">
        <f>Tabelle8[[#This Row],[2030]]/1000000</f>
        <v>40.561332116082959</v>
      </c>
      <c r="AV32" s="258">
        <f>Tabelle8[[#This Row],[2031]]/1000000</f>
        <v>40.056540855132496</v>
      </c>
      <c r="AW32" s="258">
        <f>Tabelle8[[#This Row],[2032]]/1000000</f>
        <v>39.5511888140705</v>
      </c>
      <c r="AX32" s="69">
        <f>Tabelle8[[#This Row],[2033]]/1000000</f>
        <v>0</v>
      </c>
      <c r="AY32" s="69">
        <f>Tabelle8[[#This Row],[2034]]/1000000</f>
        <v>0</v>
      </c>
      <c r="AZ32" s="76">
        <f>Tabelle8[[#This Row],[2035]]/1000000</f>
        <v>0</v>
      </c>
      <c r="BA32" t="s">
        <v>28</v>
      </c>
      <c r="BB32" s="164">
        <f>Table211123[[#This Row],[2026]]/(Revenues!$N31*Dashboard!$E$26)</f>
        <v>0</v>
      </c>
      <c r="BC32" s="164">
        <f>Table211123[[#This Row],[2027]]/(Revenues!$N31*Dashboard!$E$26)</f>
        <v>0</v>
      </c>
      <c r="BD32" s="164">
        <f>Table211123[[#This Row],[2028]]/(Revenues!$N31*Dashboard!$E$26)</f>
        <v>70</v>
      </c>
      <c r="BE32" s="164">
        <f>Table211123[[#This Row],[2029]]/(Revenues!$N31*Dashboard!$E$26)</f>
        <v>81.808695652173924</v>
      </c>
      <c r="BF32" s="164">
        <f>Table211123[[#This Row],[2030]]/(Revenues!$N31*Dashboard!$E$26)</f>
        <v>93.8</v>
      </c>
      <c r="BG32" s="164">
        <f>Table211123[[#This Row],[2031]]/(Revenues!$N31*Dashboard!$E$26)</f>
        <v>96.417391304347817</v>
      </c>
      <c r="BH32" s="164">
        <f>Table211123[[#This Row],[2032]]/(Revenues!$N31*Dashboard!$E$26)</f>
        <v>97.147826086956513</v>
      </c>
      <c r="BI32" s="53">
        <f>SUM(Table21112321[[#This Row],[2026]:[2032]])</f>
        <v>439.17391304347825</v>
      </c>
      <c r="BJ32" s="62"/>
    </row>
    <row r="33" spans="1:62" ht="15.6" thickBot="1" x14ac:dyDescent="0.4">
      <c r="A33" s="18" t="s">
        <v>29</v>
      </c>
      <c r="B33" s="135">
        <f>Revenues!BA65+Revenues!BW65</f>
        <v>21843.234494547825</v>
      </c>
      <c r="C33" s="113">
        <f>Revenues!BB65+Revenues!BX65</f>
        <v>32412.381161214493</v>
      </c>
      <c r="D33" s="113">
        <f>Revenues!BC65+Revenues!BY65</f>
        <v>40953.293894497387</v>
      </c>
      <c r="E33" s="113">
        <f>Revenues!BD65+Revenues!BZ65</f>
        <v>51272.179302502976</v>
      </c>
      <c r="F33" s="113">
        <f>Revenues!BE65+Revenues!CA65</f>
        <v>43752.097471083995</v>
      </c>
      <c r="G33" s="113">
        <f>Revenues!BF65+Revenues!CB65</f>
        <v>43007.901425297387</v>
      </c>
      <c r="H33" s="113">
        <f>Revenues!BG65+Revenues!CC65</f>
        <v>41006.610212279367</v>
      </c>
      <c r="I33" s="51">
        <f>SUM(Table21112327[[#This Row],[2026]:[2032]])</f>
        <v>274247.69796142343</v>
      </c>
      <c r="J33" s="55"/>
      <c r="K33" s="18" t="s">
        <v>29</v>
      </c>
      <c r="L33" s="69">
        <f>SUM(L6:L32)</f>
        <v>0</v>
      </c>
      <c r="M33" s="113">
        <f t="shared" ref="M33:R33" si="0">SUM(M6:M32)</f>
        <v>0</v>
      </c>
      <c r="N33" s="113">
        <f t="shared" si="0"/>
        <v>15725.465</v>
      </c>
      <c r="O33" s="113">
        <f t="shared" si="0"/>
        <v>18378.282573913046</v>
      </c>
      <c r="P33" s="113">
        <f t="shared" si="0"/>
        <v>21072.123099999997</v>
      </c>
      <c r="Q33" s="113">
        <f t="shared" si="0"/>
        <v>21660.118747826087</v>
      </c>
      <c r="R33" s="113">
        <f t="shared" si="0"/>
        <v>21824.210556521739</v>
      </c>
      <c r="S33" s="51">
        <f>SUM(Table211123[[#This Row],[2026]:[2032]])</f>
        <v>98660.199978260862</v>
      </c>
      <c r="T33" s="55"/>
      <c r="U33" s="18" t="s">
        <v>29</v>
      </c>
      <c r="V33" s="69">
        <f>SUM(V6:V32)</f>
        <v>12131.073</v>
      </c>
      <c r="W33" s="113">
        <f t="shared" ref="W33:AB33" si="1">SUM(W6:W32)</f>
        <v>17522.660999999996</v>
      </c>
      <c r="X33" s="113">
        <f t="shared" si="1"/>
        <v>20218.455000000005</v>
      </c>
      <c r="Y33" s="113">
        <f t="shared" si="1"/>
        <v>20218.455000000005</v>
      </c>
      <c r="Z33" s="113">
        <f t="shared" si="1"/>
        <v>20218.455000000005</v>
      </c>
      <c r="AA33" s="113">
        <f t="shared" si="1"/>
        <v>20218.455000000005</v>
      </c>
      <c r="AB33" s="113">
        <f t="shared" si="1"/>
        <v>20218.455000000005</v>
      </c>
      <c r="AC33" s="51">
        <f>SUM(Table21112325[[#This Row],[2026]:[2032]])</f>
        <v>130746.00900000001</v>
      </c>
      <c r="AD33" s="55"/>
      <c r="AE33" s="151" t="s">
        <v>29</v>
      </c>
      <c r="AF33" s="271">
        <f>SUM(AF6:AF32)</f>
        <v>2943509594.34653</v>
      </c>
      <c r="AG33" s="271">
        <f t="shared" ref="AG33:AL33" si="2">SUM(AG6:AG32)</f>
        <v>2741704604.4800024</v>
      </c>
      <c r="AH33" s="271">
        <f t="shared" si="2"/>
        <v>2597270204.4545403</v>
      </c>
      <c r="AI33" s="271">
        <f t="shared" si="2"/>
        <v>2517398014.5731468</v>
      </c>
      <c r="AJ33" s="271">
        <f t="shared" si="2"/>
        <v>2491679917.8404903</v>
      </c>
      <c r="AK33" s="271">
        <f t="shared" si="2"/>
        <v>2463014362.2397251</v>
      </c>
      <c r="AL33" s="271">
        <f t="shared" si="2"/>
        <v>2433469991.9791374</v>
      </c>
      <c r="AM33" s="148"/>
      <c r="AN33" s="148"/>
      <c r="AO33" s="149"/>
      <c r="AP33" s="151" t="s">
        <v>29</v>
      </c>
      <c r="AQ33" s="259">
        <f>Tabelle8[[#This Row],[2026]]/1000000</f>
        <v>2943.5095943465299</v>
      </c>
      <c r="AR33" s="259">
        <f>Tabelle8[[#This Row],[2027]]/1000000</f>
        <v>2741.7046044800022</v>
      </c>
      <c r="AS33" s="259">
        <f>Tabelle8[[#This Row],[2028]]/1000000</f>
        <v>2597.2702044545404</v>
      </c>
      <c r="AT33" s="259">
        <f>Tabelle8[[#This Row],[2029]]/1000000</f>
        <v>2517.3980145731466</v>
      </c>
      <c r="AU33" s="259">
        <f>Tabelle8[[#This Row],[2030]]/1000000</f>
        <v>2491.6799178404904</v>
      </c>
      <c r="AV33" s="259">
        <f>Tabelle8[[#This Row],[2031]]/1000000</f>
        <v>2463.014362239725</v>
      </c>
      <c r="AW33" s="259">
        <f>Tabelle8[[#This Row],[2032]]/1000000</f>
        <v>2433.4699919791374</v>
      </c>
      <c r="AX33" s="162">
        <f>Tabelle8[[#This Row],[2033]]/1000000</f>
        <v>0</v>
      </c>
      <c r="AY33" s="162">
        <f>Tabelle8[[#This Row],[2034]]/1000000</f>
        <v>0</v>
      </c>
      <c r="AZ33" s="163">
        <f>Tabelle8[[#This Row],[2035]]/1000000</f>
        <v>0</v>
      </c>
      <c r="BA33" s="18" t="s">
        <v>29</v>
      </c>
      <c r="BB33" s="69">
        <f>Table211123[[#This Row],[2026]]/(Revenues!$N4*Dashboard!$E$26)</f>
        <v>0</v>
      </c>
      <c r="BC33" s="164">
        <f>Table211123[[#This Row],[2027]]/(Revenues!$N4*Dashboard!$E$26)</f>
        <v>0</v>
      </c>
      <c r="BD33" s="164">
        <f>Table211123[[#This Row],[2028]]/(Revenues!$N4*Dashboard!$E$26)</f>
        <v>70</v>
      </c>
      <c r="BE33" s="164">
        <f>Table211123[[#This Row],[2029]]/(Revenues!$N4*Dashboard!$E$26)</f>
        <v>81.808695652173924</v>
      </c>
      <c r="BF33" s="164">
        <f>Table211123[[#This Row],[2030]]/(Revenues!$N4*Dashboard!$E$26)</f>
        <v>93.799999999999983</v>
      </c>
      <c r="BG33" s="164">
        <f>Table211123[[#This Row],[2031]]/(Revenues!$N4*Dashboard!$E$26)</f>
        <v>96.417391304347817</v>
      </c>
      <c r="BH33" s="164">
        <f>Table211123[[#This Row],[2032]]/(Revenues!$N4*Dashboard!$E$26)</f>
        <v>97.147826086956513</v>
      </c>
      <c r="BI33" s="53">
        <f>SUM(Table21112321[[#This Row],[2026]:[2032]])</f>
        <v>439.17391304347825</v>
      </c>
      <c r="BJ33" s="55"/>
    </row>
    <row r="35" spans="1:62" x14ac:dyDescent="0.35">
      <c r="A35" s="175"/>
      <c r="B35" s="175"/>
      <c r="C35" s="175"/>
      <c r="D35" s="175"/>
      <c r="E35" s="175"/>
    </row>
    <row r="37" spans="1:62" x14ac:dyDescent="0.35">
      <c r="A37" t="s">
        <v>115</v>
      </c>
      <c r="K37" t="s">
        <v>115</v>
      </c>
    </row>
    <row r="38" spans="1:62" x14ac:dyDescent="0.35">
      <c r="A38" s="367" t="s">
        <v>212</v>
      </c>
      <c r="B38" s="367"/>
      <c r="C38" s="367"/>
      <c r="D38" s="367"/>
      <c r="E38" s="367"/>
      <c r="F38" s="367"/>
      <c r="G38" s="367"/>
      <c r="H38" s="367"/>
      <c r="K38" s="388" t="s">
        <v>196</v>
      </c>
      <c r="L38" s="388"/>
      <c r="M38" s="388"/>
      <c r="N38" s="388"/>
      <c r="O38" s="388"/>
      <c r="P38" s="388"/>
      <c r="Q38" s="388"/>
      <c r="R38" s="388"/>
      <c r="U38" s="387" t="s">
        <v>116</v>
      </c>
      <c r="V38" s="367"/>
      <c r="W38" s="367"/>
      <c r="X38" s="367"/>
      <c r="Y38" s="367"/>
      <c r="Z38" s="367"/>
      <c r="AA38" s="367"/>
      <c r="AB38" s="367"/>
    </row>
    <row r="39" spans="1:62" x14ac:dyDescent="0.35">
      <c r="A39" s="153" t="s">
        <v>70</v>
      </c>
      <c r="B39" s="154" t="s">
        <v>72</v>
      </c>
      <c r="C39" s="155" t="s">
        <v>61</v>
      </c>
      <c r="D39" s="155" t="s">
        <v>62</v>
      </c>
      <c r="E39" s="155" t="s">
        <v>63</v>
      </c>
      <c r="F39" s="155" t="s">
        <v>64</v>
      </c>
      <c r="G39" s="155" t="s">
        <v>65</v>
      </c>
      <c r="H39" s="156" t="s">
        <v>66</v>
      </c>
      <c r="K39" s="153" t="s">
        <v>70</v>
      </c>
      <c r="L39" s="154" t="s">
        <v>72</v>
      </c>
      <c r="M39" s="155" t="s">
        <v>61</v>
      </c>
      <c r="N39" s="155" t="s">
        <v>62</v>
      </c>
      <c r="O39" s="155" t="s">
        <v>63</v>
      </c>
      <c r="P39" s="155" t="s">
        <v>64</v>
      </c>
      <c r="Q39" s="155" t="s">
        <v>65</v>
      </c>
      <c r="R39" s="156" t="s">
        <v>66</v>
      </c>
      <c r="U39" t="s">
        <v>70</v>
      </c>
      <c r="V39" t="s">
        <v>72</v>
      </c>
      <c r="W39" t="s">
        <v>61</v>
      </c>
      <c r="X39" t="s">
        <v>62</v>
      </c>
      <c r="Y39" t="s">
        <v>63</v>
      </c>
      <c r="Z39" t="s">
        <v>64</v>
      </c>
      <c r="AA39" t="s">
        <v>65</v>
      </c>
      <c r="AB39" t="s">
        <v>66</v>
      </c>
    </row>
    <row r="40" spans="1:62" x14ac:dyDescent="0.35">
      <c r="A40" s="2" t="s">
        <v>2</v>
      </c>
      <c r="B40" s="157">
        <v>24740.800000000003</v>
      </c>
      <c r="C40" s="152">
        <v>23256.352000000003</v>
      </c>
      <c r="D40" s="152">
        <v>21860.970880000004</v>
      </c>
      <c r="E40" s="152">
        <v>20549.312627200004</v>
      </c>
      <c r="F40" s="152">
        <v>19727.340122112004</v>
      </c>
      <c r="G40" s="152">
        <v>18938.246517227522</v>
      </c>
      <c r="H40" s="158">
        <v>18180.716656538421</v>
      </c>
      <c r="K40" s="2" t="s">
        <v>2</v>
      </c>
      <c r="L40" s="157">
        <f>0.0559*L68</f>
        <v>13898.399406107877</v>
      </c>
      <c r="M40" s="152">
        <f t="shared" ref="M40:R40" si="3">0.0559*M68</f>
        <v>15949.285825666782</v>
      </c>
      <c r="N40" s="152">
        <f t="shared" si="3"/>
        <v>18252.081484191815</v>
      </c>
      <c r="O40" s="152">
        <f t="shared" si="3"/>
        <v>20862.987426552158</v>
      </c>
      <c r="P40" s="152">
        <f t="shared" si="3"/>
        <v>23630.482017738133</v>
      </c>
      <c r="Q40" s="152">
        <f t="shared" si="3"/>
        <v>26288.475326854863</v>
      </c>
      <c r="R40" s="158">
        <f t="shared" si="3"/>
        <v>28544.00439948534</v>
      </c>
      <c r="U40" t="s">
        <v>2</v>
      </c>
      <c r="V40" s="29">
        <f>0.0559*V68</f>
        <v>71166.616897884174</v>
      </c>
      <c r="W40" s="29">
        <f t="shared" ref="W40:AB40" si="4">0.0559*W68</f>
        <v>69939.931722656227</v>
      </c>
      <c r="X40" s="29">
        <f t="shared" si="4"/>
        <v>68975.32920284773</v>
      </c>
      <c r="Y40" s="29">
        <f t="shared" si="4"/>
        <v>69401.404173228919</v>
      </c>
      <c r="Z40" s="29">
        <f t="shared" si="4"/>
        <v>69904.315992104472</v>
      </c>
      <c r="AA40" s="29">
        <f t="shared" si="4"/>
        <v>70479.302909025646</v>
      </c>
      <c r="AB40" s="29">
        <f t="shared" si="4"/>
        <v>71193.159592425334</v>
      </c>
    </row>
    <row r="41" spans="1:62" x14ac:dyDescent="0.35">
      <c r="A41" s="2" t="s">
        <v>3</v>
      </c>
      <c r="B41" s="157">
        <v>11045</v>
      </c>
      <c r="C41" s="152">
        <v>10382.300000000001</v>
      </c>
      <c r="D41" s="152">
        <v>9759.362000000001</v>
      </c>
      <c r="E41" s="152">
        <v>9173.8002800000013</v>
      </c>
      <c r="F41" s="152">
        <v>8806.8482688000004</v>
      </c>
      <c r="G41" s="152">
        <v>8454.5743380479998</v>
      </c>
      <c r="H41" s="158">
        <v>8116.39136452608</v>
      </c>
      <c r="K41" s="2" t="s">
        <v>3</v>
      </c>
      <c r="L41" s="157">
        <f>0.0723*L68</f>
        <v>17975.926244393551</v>
      </c>
      <c r="M41" s="152">
        <f t="shared" ref="M41:R41" si="5">0.0723*M68</f>
        <v>20628.503849654891</v>
      </c>
      <c r="N41" s="152">
        <f t="shared" si="5"/>
        <v>23606.896087782978</v>
      </c>
      <c r="O41" s="152">
        <f t="shared" si="5"/>
        <v>26983.792324503062</v>
      </c>
      <c r="P41" s="152">
        <f t="shared" si="5"/>
        <v>30563.217350312472</v>
      </c>
      <c r="Q41" s="152">
        <f t="shared" si="5"/>
        <v>34001.015494304236</v>
      </c>
      <c r="R41" s="158">
        <f t="shared" si="5"/>
        <v>36918.274026525767</v>
      </c>
      <c r="U41" t="s">
        <v>3</v>
      </c>
      <c r="V41" s="29">
        <f>0.0723*V68</f>
        <v>92045.552803524624</v>
      </c>
      <c r="W41" s="29">
        <f t="shared" ref="W41:AB41" si="6">0.0723*W68</f>
        <v>90458.981458820141</v>
      </c>
      <c r="X41" s="29">
        <f t="shared" si="6"/>
        <v>89211.382850910406</v>
      </c>
      <c r="Y41" s="29">
        <f t="shared" si="6"/>
        <v>89762.460138183393</v>
      </c>
      <c r="Z41" s="29">
        <f t="shared" si="6"/>
        <v>90412.916748285395</v>
      </c>
      <c r="AA41" s="29">
        <f t="shared" si="6"/>
        <v>91156.59392348041</v>
      </c>
      <c r="AB41" s="29">
        <f t="shared" si="6"/>
        <v>92079.882621330093</v>
      </c>
    </row>
    <row r="42" spans="1:62" x14ac:dyDescent="0.35">
      <c r="A42" s="2" t="s">
        <v>4</v>
      </c>
      <c r="B42" s="157">
        <v>8341.1840000000011</v>
      </c>
      <c r="C42" s="152">
        <v>7840.7129600000017</v>
      </c>
      <c r="D42" s="152">
        <v>7370.2701824000023</v>
      </c>
      <c r="E42" s="152">
        <v>6928.0539714560027</v>
      </c>
      <c r="F42" s="152">
        <v>6650.9318125977625</v>
      </c>
      <c r="G42" s="152">
        <v>6384.8945400938519</v>
      </c>
      <c r="H42" s="158">
        <v>6129.4987584900973</v>
      </c>
      <c r="J42" s="29"/>
      <c r="K42" s="2" t="s">
        <v>4</v>
      </c>
      <c r="L42" s="157">
        <f>0.0394*L68</f>
        <v>9796.0095992960705</v>
      </c>
      <c r="M42" s="152">
        <f t="shared" ref="M42:R42" si="7">0.0394*M68</f>
        <v>11241.535984459235</v>
      </c>
      <c r="N42" s="152">
        <f t="shared" si="7"/>
        <v>12864.615572042174</v>
      </c>
      <c r="O42" s="152">
        <f t="shared" si="7"/>
        <v>14704.860547516189</v>
      </c>
      <c r="P42" s="152">
        <f t="shared" si="7"/>
        <v>16655.473908745662</v>
      </c>
      <c r="Q42" s="152">
        <f t="shared" si="7"/>
        <v>18528.907475457632</v>
      </c>
      <c r="R42" s="158">
        <f t="shared" si="7"/>
        <v>20118.672152767842</v>
      </c>
      <c r="U42" t="s">
        <v>4</v>
      </c>
      <c r="V42" s="29">
        <f>0.0394*V68</f>
        <v>50160.370407453243</v>
      </c>
      <c r="W42" s="29">
        <f t="shared" ref="W42:AB42" si="8">0.0394*W68</f>
        <v>49295.765829564494</v>
      </c>
      <c r="X42" s="29">
        <f t="shared" si="8"/>
        <v>48615.884983760297</v>
      </c>
      <c r="Y42" s="29">
        <f t="shared" si="8"/>
        <v>48916.195428000348</v>
      </c>
      <c r="Z42" s="29">
        <f t="shared" si="8"/>
        <v>49270.662792288305</v>
      </c>
      <c r="AA42" s="29">
        <f t="shared" si="8"/>
        <v>49675.930851799829</v>
      </c>
      <c r="AB42" s="29">
        <f t="shared" si="8"/>
        <v>50179.07849627117</v>
      </c>
      <c r="AE42" s="29"/>
    </row>
    <row r="43" spans="1:62" x14ac:dyDescent="0.35">
      <c r="A43" s="2" t="s">
        <v>5</v>
      </c>
      <c r="B43" s="157">
        <v>8341.1840000000011</v>
      </c>
      <c r="C43" s="152">
        <v>7840.7129600000017</v>
      </c>
      <c r="D43" s="152">
        <v>7370.2701824000023</v>
      </c>
      <c r="E43" s="152">
        <v>6928.0539714560027</v>
      </c>
      <c r="F43" s="152">
        <v>6650.9318125977625</v>
      </c>
      <c r="G43" s="152">
        <v>6384.8945400938519</v>
      </c>
      <c r="H43" s="158">
        <v>6129.4987584900973</v>
      </c>
      <c r="K43" s="2" t="s">
        <v>5</v>
      </c>
      <c r="L43" s="157">
        <f>0.0236*L68</f>
        <v>5867.6605721671895</v>
      </c>
      <c r="M43" s="152">
        <f t="shared" ref="M43:R43" si="9">0.0236*M68</f>
        <v>6733.5088637877652</v>
      </c>
      <c r="N43" s="152">
        <f t="shared" si="9"/>
        <v>7705.7088198019119</v>
      </c>
      <c r="O43" s="152">
        <f t="shared" si="9"/>
        <v>8807.9875360756869</v>
      </c>
      <c r="P43" s="152">
        <f t="shared" si="9"/>
        <v>9976.375234680143</v>
      </c>
      <c r="Q43" s="152">
        <f t="shared" si="9"/>
        <v>11098.533411695435</v>
      </c>
      <c r="R43" s="158">
        <f t="shared" si="9"/>
        <v>12050.778243789875</v>
      </c>
      <c r="U43" t="s">
        <v>5</v>
      </c>
      <c r="V43" s="29">
        <f>0.0236*V68</f>
        <v>30045.298010555751</v>
      </c>
      <c r="W43" s="29">
        <f t="shared" ref="W43:AB43" si="10">0.0236*W68</f>
        <v>29527.413034967569</v>
      </c>
      <c r="X43" s="29">
        <f t="shared" si="10"/>
        <v>29120.174761846272</v>
      </c>
      <c r="Y43" s="29">
        <f t="shared" si="10"/>
        <v>29300.056144690567</v>
      </c>
      <c r="Z43" s="29">
        <f t="shared" si="10"/>
        <v>29512.376697918884</v>
      </c>
      <c r="AA43" s="29">
        <f t="shared" si="10"/>
        <v>29755.12609397147</v>
      </c>
      <c r="AB43" s="29">
        <f t="shared" si="10"/>
        <v>30056.503870862933</v>
      </c>
    </row>
    <row r="44" spans="1:62" x14ac:dyDescent="0.35">
      <c r="A44" s="2" t="s">
        <v>6</v>
      </c>
      <c r="B44" s="157">
        <v>11045</v>
      </c>
      <c r="C44" s="152">
        <v>10382.300000000001</v>
      </c>
      <c r="D44" s="152">
        <v>9759.362000000001</v>
      </c>
      <c r="E44" s="152">
        <v>9173.8002800000013</v>
      </c>
      <c r="F44" s="152">
        <v>8806.8482688000004</v>
      </c>
      <c r="G44" s="152">
        <v>8454.5743380479998</v>
      </c>
      <c r="H44" s="158">
        <v>8116.39136452608</v>
      </c>
      <c r="K44" s="2" t="s">
        <v>6</v>
      </c>
      <c r="L44" s="157">
        <f>0.0057*L68</f>
        <v>1417.1892059895331</v>
      </c>
      <c r="M44" s="152">
        <f t="shared" ref="M44:R44" si="11">0.0057*M68</f>
        <v>1626.313581508062</v>
      </c>
      <c r="N44" s="152">
        <f t="shared" si="11"/>
        <v>1861.1245878335126</v>
      </c>
      <c r="O44" s="152">
        <f t="shared" si="11"/>
        <v>2127.3529218487893</v>
      </c>
      <c r="P44" s="152">
        <f t="shared" si="11"/>
        <v>2409.5482558337635</v>
      </c>
      <c r="Q44" s="152">
        <f t="shared" si="11"/>
        <v>2680.5779850281347</v>
      </c>
      <c r="R44" s="158">
        <f t="shared" si="11"/>
        <v>2910.5693215933175</v>
      </c>
      <c r="U44" t="s">
        <v>6</v>
      </c>
      <c r="V44" s="29">
        <f>0.005*V68</f>
        <v>6365.5292395245242</v>
      </c>
      <c r="W44" s="29">
        <f t="shared" ref="W44:AB44" si="12">0.005*W68</f>
        <v>6255.8078463914344</v>
      </c>
      <c r="X44" s="29">
        <f t="shared" si="12"/>
        <v>6169.5285512386172</v>
      </c>
      <c r="Y44" s="29">
        <f t="shared" si="12"/>
        <v>6207.6390137056287</v>
      </c>
      <c r="Z44" s="29">
        <f t="shared" si="12"/>
        <v>6252.6221817624755</v>
      </c>
      <c r="AA44" s="29">
        <f t="shared" si="12"/>
        <v>6304.0521385532784</v>
      </c>
      <c r="AB44" s="29">
        <f t="shared" si="12"/>
        <v>6367.9033624709609</v>
      </c>
    </row>
    <row r="45" spans="1:62" x14ac:dyDescent="0.35">
      <c r="A45" s="2" t="s">
        <v>7</v>
      </c>
      <c r="B45" s="157">
        <v>8341.1840000000011</v>
      </c>
      <c r="C45" s="152">
        <v>7840.7129600000017</v>
      </c>
      <c r="D45" s="152">
        <v>7370.2701824000023</v>
      </c>
      <c r="E45" s="152">
        <v>6928.0539714560027</v>
      </c>
      <c r="F45" s="152">
        <v>6650.9318125977625</v>
      </c>
      <c r="G45" s="152">
        <v>6384.8945400938519</v>
      </c>
      <c r="H45" s="158">
        <v>6129.4987584900973</v>
      </c>
      <c r="K45" s="2" t="s">
        <v>7</v>
      </c>
      <c r="L45" s="157">
        <v>46300</v>
      </c>
      <c r="M45" s="152">
        <v>48600</v>
      </c>
      <c r="N45" s="152">
        <v>50070</v>
      </c>
      <c r="O45" s="152">
        <v>52540</v>
      </c>
      <c r="P45" s="152">
        <v>57840</v>
      </c>
      <c r="Q45" s="152">
        <v>61460</v>
      </c>
      <c r="R45" s="158">
        <v>64460</v>
      </c>
      <c r="U45" t="s">
        <v>7</v>
      </c>
      <c r="V45">
        <v>183240</v>
      </c>
      <c r="W45">
        <v>184280</v>
      </c>
      <c r="X45">
        <v>186710</v>
      </c>
      <c r="Y45">
        <v>194070</v>
      </c>
      <c r="Z45">
        <v>190480</v>
      </c>
      <c r="AA45">
        <v>187650</v>
      </c>
      <c r="AB45">
        <v>191300</v>
      </c>
    </row>
    <row r="46" spans="1:62" x14ac:dyDescent="0.35">
      <c r="A46" s="2" t="s">
        <v>8</v>
      </c>
      <c r="B46" s="157">
        <v>11045</v>
      </c>
      <c r="C46" s="152">
        <v>10382.300000000001</v>
      </c>
      <c r="D46" s="152">
        <v>9759.362000000001</v>
      </c>
      <c r="E46" s="152">
        <v>9173.8002800000013</v>
      </c>
      <c r="F46" s="152">
        <v>8806.8482688000004</v>
      </c>
      <c r="G46" s="152">
        <v>8454.5743380479998</v>
      </c>
      <c r="H46" s="158">
        <v>8116.39136452608</v>
      </c>
      <c r="K46" s="2" t="s">
        <v>8</v>
      </c>
      <c r="L46" s="157">
        <f>0.0364*L68</f>
        <v>9050.1205435121065</v>
      </c>
      <c r="M46" s="152">
        <f t="shared" ref="M46:R46" si="13">0.0364*M68</f>
        <v>10385.581467876045</v>
      </c>
      <c r="N46" s="152">
        <f t="shared" si="13"/>
        <v>11885.076315287695</v>
      </c>
      <c r="O46" s="152">
        <f t="shared" si="13"/>
        <v>13585.201114964197</v>
      </c>
      <c r="P46" s="152">
        <f t="shared" si="13"/>
        <v>15387.290616201577</v>
      </c>
      <c r="Q46" s="152">
        <f t="shared" si="13"/>
        <v>17118.076957021771</v>
      </c>
      <c r="R46" s="158">
        <f t="shared" si="13"/>
        <v>18586.793562455572</v>
      </c>
      <c r="U46" t="s">
        <v>8</v>
      </c>
      <c r="V46" s="29">
        <f>0.0364*V68</f>
        <v>46341.052863738536</v>
      </c>
      <c r="W46" s="29">
        <f t="shared" ref="W46:AB46" si="14">0.0364*W68</f>
        <v>45542.28112172964</v>
      </c>
      <c r="X46" s="29">
        <f t="shared" si="14"/>
        <v>44914.167853017134</v>
      </c>
      <c r="Y46" s="29">
        <f t="shared" si="14"/>
        <v>45191.612019776978</v>
      </c>
      <c r="Z46" s="29">
        <f t="shared" si="14"/>
        <v>45519.089483230826</v>
      </c>
      <c r="AA46" s="29">
        <f t="shared" si="14"/>
        <v>45893.499568667867</v>
      </c>
      <c r="AB46" s="29">
        <f t="shared" si="14"/>
        <v>46358.336478788595</v>
      </c>
    </row>
    <row r="47" spans="1:62" x14ac:dyDescent="0.35">
      <c r="A47" s="2" t="s">
        <v>9</v>
      </c>
      <c r="B47" s="157">
        <v>8341.1840000000011</v>
      </c>
      <c r="C47" s="152">
        <v>7840.7129600000017</v>
      </c>
      <c r="D47" s="152">
        <v>7370.2701824000023</v>
      </c>
      <c r="E47" s="152">
        <v>6928.0539714560027</v>
      </c>
      <c r="F47" s="152">
        <v>6650.9318125977625</v>
      </c>
      <c r="G47" s="152">
        <v>6384.8945400938519</v>
      </c>
      <c r="H47" s="158">
        <v>6129.4987584900973</v>
      </c>
      <c r="K47" s="2" t="s">
        <v>9</v>
      </c>
      <c r="L47" s="157">
        <f>0.0084*L68</f>
        <v>2088.4893561951012</v>
      </c>
      <c r="M47" s="152">
        <f t="shared" ref="M47:R47" si="15">0.0084*M68</f>
        <v>2396.6726464329336</v>
      </c>
      <c r="N47" s="152">
        <f t="shared" si="15"/>
        <v>2742.7099189125447</v>
      </c>
      <c r="O47" s="152">
        <f t="shared" si="15"/>
        <v>3135.0464111455835</v>
      </c>
      <c r="P47" s="152">
        <f t="shared" si="15"/>
        <v>3550.9132191234407</v>
      </c>
      <c r="Q47" s="152">
        <f t="shared" si="15"/>
        <v>3950.3254516204083</v>
      </c>
      <c r="R47" s="158">
        <f t="shared" si="15"/>
        <v>4289.2600528743624</v>
      </c>
      <c r="U47" t="s">
        <v>9</v>
      </c>
      <c r="V47" s="29">
        <f>0.0084*V68</f>
        <v>10694.089122401199</v>
      </c>
      <c r="W47" s="29">
        <f t="shared" ref="W47:AB47" si="16">0.0084*W68</f>
        <v>10509.757181937608</v>
      </c>
      <c r="X47" s="29">
        <f t="shared" si="16"/>
        <v>10364.807966080876</v>
      </c>
      <c r="Y47" s="29">
        <f t="shared" si="16"/>
        <v>10428.833543025456</v>
      </c>
      <c r="Z47" s="29">
        <f t="shared" si="16"/>
        <v>10504.405265360958</v>
      </c>
      <c r="AA47" s="29">
        <f t="shared" si="16"/>
        <v>10590.807592769506</v>
      </c>
      <c r="AB47" s="29">
        <f t="shared" si="16"/>
        <v>10698.077648951214</v>
      </c>
    </row>
    <row r="48" spans="1:62" x14ac:dyDescent="0.35">
      <c r="A48" s="2" t="s">
        <v>10</v>
      </c>
      <c r="B48" s="157">
        <v>11045</v>
      </c>
      <c r="C48" s="152">
        <v>10382.300000000001</v>
      </c>
      <c r="D48" s="152">
        <v>9759.362000000001</v>
      </c>
      <c r="E48" s="152">
        <v>9173.8002800000013</v>
      </c>
      <c r="F48" s="152">
        <v>8806.8482688000004</v>
      </c>
      <c r="G48" s="152">
        <v>8454.5743380479998</v>
      </c>
      <c r="H48" s="158">
        <v>8116.39136452608</v>
      </c>
      <c r="K48" s="2" t="s">
        <v>10</v>
      </c>
      <c r="L48" s="157">
        <f>0.0343*L68</f>
        <v>8527.9982044633307</v>
      </c>
      <c r="M48" s="152">
        <f t="shared" ref="M48:R48" si="17">0.0343*M68</f>
        <v>9786.4133062678102</v>
      </c>
      <c r="N48" s="152">
        <f t="shared" si="17"/>
        <v>11199.398835559557</v>
      </c>
      <c r="O48" s="152">
        <f t="shared" si="17"/>
        <v>12801.4395121778</v>
      </c>
      <c r="P48" s="152">
        <f t="shared" si="17"/>
        <v>14499.562311420716</v>
      </c>
      <c r="Q48" s="152">
        <f t="shared" si="17"/>
        <v>16130.495594116668</v>
      </c>
      <c r="R48" s="158">
        <f t="shared" si="17"/>
        <v>17514.478549236977</v>
      </c>
      <c r="U48" t="s">
        <v>10</v>
      </c>
      <c r="V48" s="29">
        <f>0.0343*V68</f>
        <v>43667.530583138228</v>
      </c>
      <c r="W48" s="29">
        <f t="shared" ref="W48:AB48" si="18">0.0343*W68</f>
        <v>42914.841826245232</v>
      </c>
      <c r="X48" s="29">
        <f t="shared" si="18"/>
        <v>42322.965861496908</v>
      </c>
      <c r="Y48" s="29">
        <f t="shared" si="18"/>
        <v>42584.403634020608</v>
      </c>
      <c r="Z48" s="29">
        <f t="shared" si="18"/>
        <v>42892.98816689058</v>
      </c>
      <c r="AA48" s="29">
        <f t="shared" si="18"/>
        <v>43245.797670475484</v>
      </c>
      <c r="AB48" s="29">
        <f t="shared" si="18"/>
        <v>43683.817066550786</v>
      </c>
    </row>
    <row r="49" spans="1:29" x14ac:dyDescent="0.35">
      <c r="A49" s="2" t="s">
        <v>11</v>
      </c>
      <c r="B49" s="157">
        <v>11045</v>
      </c>
      <c r="C49" s="152">
        <v>10382.300000000001</v>
      </c>
      <c r="D49" s="152">
        <v>9759.362000000001</v>
      </c>
      <c r="E49" s="152">
        <v>9173.8002800000013</v>
      </c>
      <c r="F49" s="152">
        <v>8806.8482688000004</v>
      </c>
      <c r="G49" s="152">
        <v>8454.5743380479998</v>
      </c>
      <c r="H49" s="158">
        <v>8116.39136452608</v>
      </c>
      <c r="K49" s="2" t="s">
        <v>11</v>
      </c>
      <c r="L49" s="157">
        <v>212840</v>
      </c>
      <c r="M49" s="152">
        <v>253630</v>
      </c>
      <c r="N49" s="152">
        <v>286449.99</v>
      </c>
      <c r="O49" s="152">
        <v>315499.99</v>
      </c>
      <c r="P49" s="152">
        <v>346050</v>
      </c>
      <c r="Q49" s="152">
        <v>371389.99</v>
      </c>
      <c r="R49" s="158">
        <v>382649.98</v>
      </c>
      <c r="U49" t="s">
        <v>11</v>
      </c>
      <c r="V49">
        <v>588693.43999999994</v>
      </c>
      <c r="W49">
        <v>588385.39</v>
      </c>
      <c r="X49">
        <v>585582.25</v>
      </c>
      <c r="Y49">
        <v>604233.51</v>
      </c>
      <c r="Z49">
        <v>611051</v>
      </c>
      <c r="AA49">
        <v>610991</v>
      </c>
      <c r="AB49">
        <v>611150.97</v>
      </c>
      <c r="AC49">
        <f>SUM(V49:Z49)*20%</f>
        <v>595589.11800000002</v>
      </c>
    </row>
    <row r="50" spans="1:29" x14ac:dyDescent="0.35">
      <c r="A50" s="2" t="s">
        <v>12</v>
      </c>
      <c r="B50" s="157">
        <v>24740.800000000003</v>
      </c>
      <c r="C50" s="152">
        <v>23256.352000000003</v>
      </c>
      <c r="D50" s="152">
        <v>21860.970880000004</v>
      </c>
      <c r="E50" s="152">
        <v>20549.312627200004</v>
      </c>
      <c r="F50" s="152">
        <v>19727.340122112004</v>
      </c>
      <c r="G50" s="152">
        <v>18938.246517227522</v>
      </c>
      <c r="H50" s="158">
        <v>18180.716656538421</v>
      </c>
      <c r="K50" s="2" t="s">
        <v>12</v>
      </c>
      <c r="L50" s="157">
        <v>222900</v>
      </c>
      <c r="M50" s="152">
        <v>244250</v>
      </c>
      <c r="N50" s="152">
        <v>268869</v>
      </c>
      <c r="O50" s="152">
        <v>307909</v>
      </c>
      <c r="P50" s="152">
        <v>352691</v>
      </c>
      <c r="Q50" s="152">
        <v>394099</v>
      </c>
      <c r="R50" s="158">
        <v>432250</v>
      </c>
      <c r="U50" t="s">
        <v>12</v>
      </c>
      <c r="V50">
        <v>841114.20000000007</v>
      </c>
      <c r="W50">
        <v>755561.81</v>
      </c>
      <c r="X50">
        <v>723986.25999999989</v>
      </c>
      <c r="Y50">
        <v>725715.52</v>
      </c>
      <c r="Z50">
        <v>736527.74</v>
      </c>
      <c r="AA50">
        <v>746985.09</v>
      </c>
      <c r="AB50">
        <v>757114.41</v>
      </c>
      <c r="AC50">
        <f t="shared" ref="AC50:AC64" si="19">SUM(V50:Z50)*10%</f>
        <v>378290.55300000007</v>
      </c>
    </row>
    <row r="51" spans="1:29" x14ac:dyDescent="0.35">
      <c r="A51" s="2" t="s">
        <v>13</v>
      </c>
      <c r="B51" s="157">
        <v>11045</v>
      </c>
      <c r="C51" s="152">
        <v>10382.300000000001</v>
      </c>
      <c r="D51" s="152">
        <v>9759.362000000001</v>
      </c>
      <c r="E51" s="152">
        <v>9173.8002800000013</v>
      </c>
      <c r="F51" s="152">
        <v>8806.8482688000004</v>
      </c>
      <c r="G51" s="152">
        <v>8454.5743380479998</v>
      </c>
      <c r="H51" s="158">
        <v>8116.39136452608</v>
      </c>
      <c r="K51" s="2" t="s">
        <v>13</v>
      </c>
      <c r="L51" s="157">
        <f>0.0635*L68</f>
        <v>15787.985014093922</v>
      </c>
      <c r="M51" s="152">
        <f t="shared" ref="M51:R51" si="20">0.0635*M68</f>
        <v>18117.703934344201</v>
      </c>
      <c r="N51" s="152">
        <f t="shared" si="20"/>
        <v>20733.580934636499</v>
      </c>
      <c r="O51" s="152">
        <f t="shared" si="20"/>
        <v>23699.45798901721</v>
      </c>
      <c r="P51" s="152">
        <f t="shared" si="20"/>
        <v>26843.213025516488</v>
      </c>
      <c r="Q51" s="152">
        <f t="shared" si="20"/>
        <v>29862.579306892378</v>
      </c>
      <c r="R51" s="158">
        <f t="shared" si="20"/>
        <v>32424.763494943098</v>
      </c>
      <c r="U51" t="s">
        <v>13</v>
      </c>
      <c r="V51" s="29">
        <f>0.0635*V68</f>
        <v>80842.221341961456</v>
      </c>
      <c r="W51" s="29">
        <f t="shared" ref="W51:AB51" si="21">0.0635*W68</f>
        <v>79448.759649171217</v>
      </c>
      <c r="X51" s="29">
        <f t="shared" si="21"/>
        <v>78353.012600730435</v>
      </c>
      <c r="Y51" s="29">
        <f t="shared" si="21"/>
        <v>78837.015474061482</v>
      </c>
      <c r="Z51" s="29">
        <f t="shared" si="21"/>
        <v>79408.301708383442</v>
      </c>
      <c r="AA51" s="29">
        <f t="shared" si="21"/>
        <v>80061.462159626637</v>
      </c>
      <c r="AB51" s="29">
        <f t="shared" si="21"/>
        <v>80872.372703381203</v>
      </c>
      <c r="AC51">
        <f t="shared" si="19"/>
        <v>39688.931077430803</v>
      </c>
    </row>
    <row r="52" spans="1:29" x14ac:dyDescent="0.35">
      <c r="A52" s="2" t="s">
        <v>14</v>
      </c>
      <c r="B52" s="157">
        <v>8341.1840000000011</v>
      </c>
      <c r="C52" s="152">
        <v>7840.7129600000017</v>
      </c>
      <c r="D52" s="152">
        <v>7370.2701824000023</v>
      </c>
      <c r="E52" s="152">
        <v>6928.0539714560027</v>
      </c>
      <c r="F52" s="152">
        <v>6650.9318125977625</v>
      </c>
      <c r="G52" s="152">
        <v>6384.8945400938519</v>
      </c>
      <c r="H52" s="158">
        <v>6129.4987584900973</v>
      </c>
      <c r="K52" s="2" t="s">
        <v>14</v>
      </c>
      <c r="L52" s="157">
        <f>0.0585*L68</f>
        <v>14544.836587787315</v>
      </c>
      <c r="M52" s="152">
        <f t="shared" ref="M52:R52" si="22">0.0585*M68</f>
        <v>16691.113073372217</v>
      </c>
      <c r="N52" s="152">
        <f t="shared" si="22"/>
        <v>19101.015506712367</v>
      </c>
      <c r="O52" s="152">
        <f t="shared" si="22"/>
        <v>21833.358934763888</v>
      </c>
      <c r="P52" s="152">
        <f t="shared" si="22"/>
        <v>24729.574204609678</v>
      </c>
      <c r="Q52" s="152">
        <f t="shared" si="22"/>
        <v>27511.195109499276</v>
      </c>
      <c r="R52" s="158">
        <f t="shared" si="22"/>
        <v>29871.632511089312</v>
      </c>
      <c r="U52" t="s">
        <v>14</v>
      </c>
      <c r="V52" s="29">
        <f>0.0585*V68</f>
        <v>74476.692102436937</v>
      </c>
      <c r="W52" s="29">
        <f t="shared" ref="W52:AB52" si="23">0.0585*W68</f>
        <v>73192.951802779775</v>
      </c>
      <c r="X52" s="29">
        <f t="shared" si="23"/>
        <v>72183.484049491817</v>
      </c>
      <c r="Y52" s="29">
        <f t="shared" si="23"/>
        <v>72629.376460355852</v>
      </c>
      <c r="Z52" s="29">
        <f t="shared" si="23"/>
        <v>73155.679526620966</v>
      </c>
      <c r="AA52" s="29">
        <f t="shared" si="23"/>
        <v>73757.41002107336</v>
      </c>
      <c r="AB52" s="29">
        <f t="shared" si="23"/>
        <v>74504.469340910247</v>
      </c>
      <c r="AC52">
        <f t="shared" si="19"/>
        <v>36563.818394168535</v>
      </c>
    </row>
    <row r="53" spans="1:29" x14ac:dyDescent="0.35">
      <c r="A53" s="2" t="s">
        <v>15</v>
      </c>
      <c r="B53" s="157">
        <v>11045</v>
      </c>
      <c r="C53" s="152">
        <v>10382.300000000001</v>
      </c>
      <c r="D53" s="152">
        <v>9759.362000000001</v>
      </c>
      <c r="E53" s="152">
        <v>9173.8002800000013</v>
      </c>
      <c r="F53" s="152">
        <v>8806.8482688000004</v>
      </c>
      <c r="G53" s="152">
        <v>8454.5743380479998</v>
      </c>
      <c r="H53" s="158">
        <v>8116.39136452608</v>
      </c>
      <c r="K53" s="2" t="s">
        <v>15</v>
      </c>
      <c r="L53" s="157">
        <f>0.0326*L68</f>
        <v>8105.3277395190835</v>
      </c>
      <c r="M53" s="152">
        <f t="shared" ref="M53:R53" si="24">0.0326*M68</f>
        <v>9301.3724135373359</v>
      </c>
      <c r="N53" s="152">
        <f t="shared" si="24"/>
        <v>10644.326590065351</v>
      </c>
      <c r="O53" s="152">
        <f t="shared" si="24"/>
        <v>12166.965833731669</v>
      </c>
      <c r="P53" s="152">
        <f t="shared" si="24"/>
        <v>13780.9251123124</v>
      </c>
      <c r="Q53" s="152">
        <f t="shared" si="24"/>
        <v>15331.024967003013</v>
      </c>
      <c r="R53" s="158">
        <f t="shared" si="24"/>
        <v>16646.414014726692</v>
      </c>
      <c r="U53" t="s">
        <v>15</v>
      </c>
      <c r="V53" s="29">
        <f>0.0326*V68</f>
        <v>41503.250641699888</v>
      </c>
      <c r="W53" s="29">
        <f t="shared" ref="W53:AB53" si="25">0.0326*W68</f>
        <v>40787.867158472145</v>
      </c>
      <c r="X53" s="29">
        <f t="shared" si="25"/>
        <v>40225.326154075781</v>
      </c>
      <c r="Y53" s="29">
        <f t="shared" si="25"/>
        <v>40473.806369360696</v>
      </c>
      <c r="Z53" s="29">
        <f t="shared" si="25"/>
        <v>40767.096625091333</v>
      </c>
      <c r="AA53" s="29">
        <f t="shared" si="25"/>
        <v>41102.419943367371</v>
      </c>
      <c r="AB53" s="29">
        <f t="shared" si="25"/>
        <v>41518.729923310661</v>
      </c>
      <c r="AC53">
        <f t="shared" si="19"/>
        <v>20375.734694869985</v>
      </c>
    </row>
    <row r="54" spans="1:29" x14ac:dyDescent="0.35">
      <c r="A54" s="2" t="s">
        <v>16</v>
      </c>
      <c r="B54" s="157">
        <v>11045</v>
      </c>
      <c r="C54" s="152">
        <v>10382.300000000001</v>
      </c>
      <c r="D54" s="152">
        <v>9759.362000000001</v>
      </c>
      <c r="E54" s="152">
        <v>9173.8002800000013</v>
      </c>
      <c r="F54" s="152">
        <v>8806.8482688000004</v>
      </c>
      <c r="G54" s="152">
        <v>8454.5743380479998</v>
      </c>
      <c r="H54" s="158">
        <v>8116.39136452608</v>
      </c>
      <c r="K54" s="2" t="s">
        <v>16</v>
      </c>
      <c r="L54" s="157">
        <v>49880</v>
      </c>
      <c r="M54" s="152">
        <v>58020</v>
      </c>
      <c r="N54" s="152">
        <v>85340</v>
      </c>
      <c r="O54" s="152">
        <v>114629</v>
      </c>
      <c r="P54" s="152">
        <v>124030</v>
      </c>
      <c r="Q54" s="152">
        <v>144700</v>
      </c>
      <c r="R54" s="158">
        <v>168849</v>
      </c>
      <c r="U54" t="s">
        <v>16</v>
      </c>
      <c r="V54">
        <v>821805.59</v>
      </c>
      <c r="W54">
        <v>814364.48</v>
      </c>
      <c r="X54">
        <v>805351.83</v>
      </c>
      <c r="Y54">
        <v>797668.04999999993</v>
      </c>
      <c r="Z54">
        <v>795474.67999999993</v>
      </c>
      <c r="AA54">
        <v>800642.31</v>
      </c>
      <c r="AB54">
        <v>809392.35</v>
      </c>
      <c r="AC54">
        <f t="shared" si="19"/>
        <v>403466.46299999999</v>
      </c>
    </row>
    <row r="55" spans="1:29" x14ac:dyDescent="0.35">
      <c r="A55" s="2" t="s">
        <v>17</v>
      </c>
      <c r="B55" s="157">
        <v>6779.8628000000008</v>
      </c>
      <c r="C55" s="152">
        <v>6373.0710320000007</v>
      </c>
      <c r="D55" s="152">
        <v>5990.6867700800012</v>
      </c>
      <c r="E55" s="152">
        <v>5631.2455638752017</v>
      </c>
      <c r="F55" s="152">
        <v>5411.4119217647749</v>
      </c>
      <c r="G55" s="152">
        <v>5200.4361341607073</v>
      </c>
      <c r="H55" s="158">
        <v>4997.6857013436475</v>
      </c>
      <c r="K55" s="2" t="s">
        <v>17</v>
      </c>
      <c r="L55" s="157">
        <f>0.0114*L68</f>
        <v>2834.3784119790662</v>
      </c>
      <c r="M55" s="152">
        <f t="shared" ref="M55:R55" si="26">0.0114*M68</f>
        <v>3252.6271630161241</v>
      </c>
      <c r="N55" s="152">
        <f t="shared" si="26"/>
        <v>3722.2491756670252</v>
      </c>
      <c r="O55" s="152">
        <f t="shared" si="26"/>
        <v>4254.7058436975785</v>
      </c>
      <c r="P55" s="152">
        <f t="shared" si="26"/>
        <v>4819.096511667527</v>
      </c>
      <c r="Q55" s="152">
        <f t="shared" si="26"/>
        <v>5361.1559700562693</v>
      </c>
      <c r="R55" s="158">
        <f t="shared" si="26"/>
        <v>5821.1386431866349</v>
      </c>
      <c r="U55" t="s">
        <v>17</v>
      </c>
      <c r="V55" s="29">
        <f>0.0114*V68</f>
        <v>14513.406666115914</v>
      </c>
      <c r="W55" s="29">
        <f t="shared" ref="W55:AB55" si="27">0.0114*W68</f>
        <v>14263.241889772469</v>
      </c>
      <c r="X55" s="29">
        <f t="shared" si="27"/>
        <v>14066.525096824047</v>
      </c>
      <c r="Y55" s="29">
        <f t="shared" si="27"/>
        <v>14153.416951248833</v>
      </c>
      <c r="Z55" s="29">
        <f t="shared" si="27"/>
        <v>14255.978574418445</v>
      </c>
      <c r="AA55" s="29">
        <f t="shared" si="27"/>
        <v>14373.238875901474</v>
      </c>
      <c r="AB55" s="29">
        <f t="shared" si="27"/>
        <v>14518.81966643379</v>
      </c>
      <c r="AC55">
        <f t="shared" si="19"/>
        <v>7125.2569178379708</v>
      </c>
    </row>
    <row r="56" spans="1:29" x14ac:dyDescent="0.35">
      <c r="A56" s="2" t="s">
        <v>18</v>
      </c>
      <c r="B56" s="157">
        <v>6779.8628000000008</v>
      </c>
      <c r="C56" s="152">
        <v>6373.0710320000007</v>
      </c>
      <c r="D56" s="152">
        <v>5990.6867700800012</v>
      </c>
      <c r="E56" s="152">
        <v>5631.2455638752017</v>
      </c>
      <c r="F56" s="152">
        <v>5411.4119217647749</v>
      </c>
      <c r="G56" s="152">
        <v>5200.4361341607073</v>
      </c>
      <c r="H56" s="158">
        <v>4997.6857013436475</v>
      </c>
      <c r="K56" s="2" t="s">
        <v>18</v>
      </c>
      <c r="L56" s="157">
        <f>0.0177*L68</f>
        <v>4400.7454291253925</v>
      </c>
      <c r="M56" s="152">
        <f t="shared" ref="M56:R56" si="28">0.0177*M68</f>
        <v>5050.1316478408244</v>
      </c>
      <c r="N56" s="152">
        <f t="shared" si="28"/>
        <v>5779.2816148514339</v>
      </c>
      <c r="O56" s="152">
        <f t="shared" si="28"/>
        <v>6605.9906520567665</v>
      </c>
      <c r="P56" s="152">
        <f t="shared" si="28"/>
        <v>7482.2814260101077</v>
      </c>
      <c r="Q56" s="152">
        <f t="shared" si="28"/>
        <v>8323.9000587715764</v>
      </c>
      <c r="R56" s="158">
        <f t="shared" si="28"/>
        <v>9038.0836828424071</v>
      </c>
      <c r="U56" t="s">
        <v>18</v>
      </c>
      <c r="V56" s="29">
        <f>0.0177*V68</f>
        <v>22533.973507916813</v>
      </c>
      <c r="W56" s="29">
        <f t="shared" ref="W56:AB56" si="29">0.0177*W68</f>
        <v>22145.559776225677</v>
      </c>
      <c r="X56" s="29">
        <f t="shared" si="29"/>
        <v>21840.131071384705</v>
      </c>
      <c r="Y56" s="29">
        <f t="shared" si="29"/>
        <v>21975.042108517926</v>
      </c>
      <c r="Z56" s="29">
        <f t="shared" si="29"/>
        <v>22134.282523439164</v>
      </c>
      <c r="AA56" s="29">
        <f t="shared" si="29"/>
        <v>22316.344570478606</v>
      </c>
      <c r="AB56" s="29">
        <f t="shared" si="29"/>
        <v>22542.3779031472</v>
      </c>
      <c r="AC56">
        <f t="shared" si="19"/>
        <v>11062.89889874843</v>
      </c>
    </row>
    <row r="57" spans="1:29" x14ac:dyDescent="0.35">
      <c r="A57" s="2" t="s">
        <v>19</v>
      </c>
      <c r="B57" s="157">
        <v>11045</v>
      </c>
      <c r="C57" s="152">
        <v>10382.300000000001</v>
      </c>
      <c r="D57" s="152">
        <v>9759.362000000001</v>
      </c>
      <c r="E57" s="152">
        <v>9173.8002800000013</v>
      </c>
      <c r="F57" s="152">
        <v>8806.8482688000004</v>
      </c>
      <c r="G57" s="152">
        <v>8454.5743380479998</v>
      </c>
      <c r="H57" s="158">
        <v>8116.39136452608</v>
      </c>
      <c r="K57" s="2" t="s">
        <v>19</v>
      </c>
      <c r="L57" s="157">
        <f>0.0041*L68</f>
        <v>1019.3817095714187</v>
      </c>
      <c r="M57" s="152">
        <f t="shared" ref="M57:R57" si="30">0.0041*M68</f>
        <v>1169.8045059970273</v>
      </c>
      <c r="N57" s="152">
        <f t="shared" si="30"/>
        <v>1338.7036508977899</v>
      </c>
      <c r="O57" s="152">
        <f t="shared" si="30"/>
        <v>1530.2012244877255</v>
      </c>
      <c r="P57" s="152">
        <f t="shared" si="30"/>
        <v>1733.1838331435843</v>
      </c>
      <c r="Q57" s="152">
        <f t="shared" si="30"/>
        <v>1928.1350418623426</v>
      </c>
      <c r="R57" s="158">
        <f t="shared" si="30"/>
        <v>2093.5674067601058</v>
      </c>
      <c r="U57" t="s">
        <v>19</v>
      </c>
      <c r="V57" s="29">
        <f>0.0041*V68</f>
        <v>5219.7339764101098</v>
      </c>
      <c r="W57" s="29">
        <f t="shared" ref="W57:AB57" si="31">0.0041*W68</f>
        <v>5129.7624340409766</v>
      </c>
      <c r="X57" s="29">
        <f t="shared" si="31"/>
        <v>5059.0134120156663</v>
      </c>
      <c r="Y57" s="29">
        <f t="shared" si="31"/>
        <v>5090.2639912386157</v>
      </c>
      <c r="Z57" s="29">
        <f t="shared" si="31"/>
        <v>5127.15018904523</v>
      </c>
      <c r="AA57" s="29">
        <f t="shared" si="31"/>
        <v>5169.3227536136883</v>
      </c>
      <c r="AB57" s="29">
        <f t="shared" si="31"/>
        <v>5221.6807572261878</v>
      </c>
      <c r="AC57">
        <f t="shared" si="19"/>
        <v>2562.5924002750598</v>
      </c>
    </row>
    <row r="58" spans="1:29" x14ac:dyDescent="0.35">
      <c r="A58" s="2" t="s">
        <v>20</v>
      </c>
      <c r="B58" s="157">
        <v>11045</v>
      </c>
      <c r="C58" s="152">
        <v>10382.300000000001</v>
      </c>
      <c r="D58" s="152">
        <v>9759.362000000001</v>
      </c>
      <c r="E58" s="152">
        <v>9173.8002800000013</v>
      </c>
      <c r="F58" s="152">
        <v>8806.8482688000004</v>
      </c>
      <c r="G58" s="152">
        <v>8454.5743380479998</v>
      </c>
      <c r="H58" s="158">
        <v>8116.39136452608</v>
      </c>
      <c r="K58" s="2" t="s">
        <v>20</v>
      </c>
      <c r="L58" s="157">
        <f>0.0034*L68</f>
        <v>845.34092988849341</v>
      </c>
      <c r="M58" s="152">
        <f t="shared" ref="M58:R58" si="32">0.0034*M68</f>
        <v>970.08178546094916</v>
      </c>
      <c r="N58" s="152">
        <f t="shared" si="32"/>
        <v>1110.144490988411</v>
      </c>
      <c r="O58" s="152">
        <f t="shared" si="32"/>
        <v>1268.9473568922601</v>
      </c>
      <c r="P58" s="152">
        <f t="shared" si="32"/>
        <v>1437.2743982166307</v>
      </c>
      <c r="Q58" s="152">
        <f t="shared" si="32"/>
        <v>1598.9412542273083</v>
      </c>
      <c r="R58" s="158">
        <f t="shared" si="32"/>
        <v>1736.1290690205751</v>
      </c>
      <c r="U58" t="s">
        <v>20</v>
      </c>
      <c r="V58" s="29">
        <f>0.0034*V68</f>
        <v>4328.5598828766761</v>
      </c>
      <c r="W58" s="29">
        <f t="shared" ref="W58:AB58" si="33">0.0034*W68</f>
        <v>4253.9493355461746</v>
      </c>
      <c r="X58" s="29">
        <f t="shared" si="33"/>
        <v>4195.279414842259</v>
      </c>
      <c r="Y58" s="29">
        <f t="shared" si="33"/>
        <v>4221.1945293198269</v>
      </c>
      <c r="Z58" s="29">
        <f t="shared" si="33"/>
        <v>4251.7830835984832</v>
      </c>
      <c r="AA58" s="29">
        <f t="shared" si="33"/>
        <v>4286.7554542162288</v>
      </c>
      <c r="AB58" s="29">
        <f t="shared" si="33"/>
        <v>4330.1742864802527</v>
      </c>
      <c r="AC58">
        <f t="shared" si="19"/>
        <v>2125.0766246183421</v>
      </c>
    </row>
    <row r="59" spans="1:29" x14ac:dyDescent="0.35">
      <c r="A59" s="2" t="s">
        <v>21</v>
      </c>
      <c r="B59" s="157">
        <v>6185.2000000000007</v>
      </c>
      <c r="C59" s="152">
        <v>5814.0880000000006</v>
      </c>
      <c r="D59" s="152">
        <v>5465.2427200000011</v>
      </c>
      <c r="E59" s="152">
        <v>5137.3281568000011</v>
      </c>
      <c r="F59" s="152">
        <v>4931.835030528001</v>
      </c>
      <c r="G59" s="152">
        <v>4734.5616293068806</v>
      </c>
      <c r="H59" s="158">
        <v>4545.1791641346053</v>
      </c>
      <c r="K59" s="2" t="s">
        <v>21</v>
      </c>
      <c r="L59" s="157">
        <v>99840</v>
      </c>
      <c r="M59" s="152">
        <v>120100</v>
      </c>
      <c r="N59" s="152">
        <v>145800</v>
      </c>
      <c r="O59" s="152">
        <v>176860</v>
      </c>
      <c r="P59" s="152">
        <v>211730</v>
      </c>
      <c r="Q59" s="152">
        <v>248050</v>
      </c>
      <c r="R59" s="158">
        <v>281060</v>
      </c>
      <c r="U59" t="s">
        <v>21</v>
      </c>
      <c r="V59">
        <v>494970</v>
      </c>
      <c r="W59">
        <v>495560</v>
      </c>
      <c r="X59">
        <v>498780</v>
      </c>
      <c r="Y59">
        <v>501750</v>
      </c>
      <c r="Z59">
        <v>504140</v>
      </c>
      <c r="AA59">
        <v>505680</v>
      </c>
      <c r="AB59">
        <v>508020</v>
      </c>
      <c r="AC59">
        <f t="shared" si="19"/>
        <v>249520</v>
      </c>
    </row>
    <row r="60" spans="1:29" x14ac:dyDescent="0.35">
      <c r="A60" s="2" t="s">
        <v>22</v>
      </c>
      <c r="B60" s="157">
        <v>6779.8628000000008</v>
      </c>
      <c r="C60" s="152">
        <v>6373.0710320000007</v>
      </c>
      <c r="D60" s="152">
        <v>5990.6867700800012</v>
      </c>
      <c r="E60" s="152">
        <v>5631.2455638752017</v>
      </c>
      <c r="F60" s="152">
        <v>5411.4119217647749</v>
      </c>
      <c r="G60" s="152">
        <v>5200.4361341607073</v>
      </c>
      <c r="H60" s="158">
        <v>4997.6857013436475</v>
      </c>
      <c r="K60" s="2" t="s">
        <v>22</v>
      </c>
      <c r="L60" s="157">
        <v>67210</v>
      </c>
      <c r="M60" s="152">
        <v>77260</v>
      </c>
      <c r="N60" s="152">
        <v>86170</v>
      </c>
      <c r="O60" s="152">
        <v>96320</v>
      </c>
      <c r="P60" s="152">
        <v>115050</v>
      </c>
      <c r="Q60" s="152">
        <v>126801</v>
      </c>
      <c r="R60" s="158">
        <v>135350</v>
      </c>
      <c r="U60" t="s">
        <v>22</v>
      </c>
      <c r="V60">
        <v>449931</v>
      </c>
      <c r="W60">
        <v>448875</v>
      </c>
      <c r="X60">
        <v>448640</v>
      </c>
      <c r="Y60">
        <v>455229</v>
      </c>
      <c r="Z60">
        <v>461140</v>
      </c>
      <c r="AA60">
        <v>467450</v>
      </c>
      <c r="AB60">
        <v>469190</v>
      </c>
      <c r="AC60">
        <f>SUM(V60:Z60)*40%</f>
        <v>905526</v>
      </c>
    </row>
    <row r="61" spans="1:29" x14ac:dyDescent="0.35">
      <c r="A61" s="2" t="s">
        <v>23</v>
      </c>
      <c r="B61" s="157">
        <v>6185.2000000000007</v>
      </c>
      <c r="C61" s="152">
        <v>5814.0880000000006</v>
      </c>
      <c r="D61" s="152">
        <v>5465.2427200000011</v>
      </c>
      <c r="E61" s="152">
        <v>5137.3281568000011</v>
      </c>
      <c r="F61" s="152">
        <v>4931.835030528001</v>
      </c>
      <c r="G61" s="152">
        <v>4734.5616293068806</v>
      </c>
      <c r="H61" s="158">
        <v>4545.1791641346053</v>
      </c>
      <c r="K61" s="2" t="s">
        <v>23</v>
      </c>
      <c r="L61" s="157">
        <f>0.0649*L68</f>
        <v>16136.066573459771</v>
      </c>
      <c r="M61" s="152">
        <f t="shared" ref="M61:R61" si="34">0.0649*M68</f>
        <v>18517.149375416357</v>
      </c>
      <c r="N61" s="152">
        <f t="shared" si="34"/>
        <v>21190.699254455256</v>
      </c>
      <c r="O61" s="152">
        <f t="shared" si="34"/>
        <v>24221.965724208141</v>
      </c>
      <c r="P61" s="152">
        <f t="shared" si="34"/>
        <v>27435.031895370394</v>
      </c>
      <c r="Q61" s="152">
        <f t="shared" si="34"/>
        <v>30520.966882162444</v>
      </c>
      <c r="R61" s="158">
        <f t="shared" si="34"/>
        <v>33139.640170422157</v>
      </c>
      <c r="U61" t="s">
        <v>23</v>
      </c>
      <c r="V61" s="29">
        <f>0.0649*V68</f>
        <v>82624.569529028318</v>
      </c>
      <c r="W61" s="29">
        <f t="shared" ref="W61:AB61" si="35">0.0649*W68</f>
        <v>81200.385846160803</v>
      </c>
      <c r="X61" s="29">
        <f t="shared" si="35"/>
        <v>80080.480595077242</v>
      </c>
      <c r="Y61" s="29">
        <f t="shared" si="35"/>
        <v>80575.154397899052</v>
      </c>
      <c r="Z61" s="29">
        <f t="shared" si="35"/>
        <v>81159.035919276925</v>
      </c>
      <c r="AA61" s="29">
        <f t="shared" si="35"/>
        <v>81826.596758421554</v>
      </c>
      <c r="AB61" s="29">
        <f t="shared" si="35"/>
        <v>82655.385644873066</v>
      </c>
      <c r="AC61">
        <f t="shared" si="19"/>
        <v>40563.962628744237</v>
      </c>
    </row>
    <row r="62" spans="1:29" x14ac:dyDescent="0.35">
      <c r="A62" s="2" t="s">
        <v>24</v>
      </c>
      <c r="B62" s="157">
        <v>8341.1840000000011</v>
      </c>
      <c r="C62" s="152">
        <v>7840.7129600000017</v>
      </c>
      <c r="D62" s="152">
        <v>7370.2701824000023</v>
      </c>
      <c r="E62" s="152">
        <v>6928.0539714560027</v>
      </c>
      <c r="F62" s="152">
        <v>6650.9318125977625</v>
      </c>
      <c r="G62" s="152">
        <v>6384.8945400938519</v>
      </c>
      <c r="H62" s="158">
        <v>6129.4987584900973</v>
      </c>
      <c r="K62" s="2" t="s">
        <v>24</v>
      </c>
      <c r="L62" s="157">
        <v>19310</v>
      </c>
      <c r="M62" s="152">
        <v>19710</v>
      </c>
      <c r="N62" s="152">
        <v>20720</v>
      </c>
      <c r="O62" s="152">
        <v>21730</v>
      </c>
      <c r="P62" s="152">
        <v>22840</v>
      </c>
      <c r="Q62" s="152">
        <v>25050</v>
      </c>
      <c r="R62" s="158">
        <v>27560</v>
      </c>
      <c r="U62" t="s">
        <v>24</v>
      </c>
      <c r="V62">
        <v>293230</v>
      </c>
      <c r="W62">
        <v>305220</v>
      </c>
      <c r="X62">
        <v>287570</v>
      </c>
      <c r="Y62">
        <v>269980</v>
      </c>
      <c r="Z62">
        <v>278720</v>
      </c>
      <c r="AA62">
        <v>289160</v>
      </c>
      <c r="AB62">
        <v>299980</v>
      </c>
      <c r="AC62">
        <f t="shared" si="19"/>
        <v>143472</v>
      </c>
    </row>
    <row r="63" spans="1:29" x14ac:dyDescent="0.35">
      <c r="A63" s="2" t="s">
        <v>25</v>
      </c>
      <c r="B63" s="157">
        <v>8341.1840000000011</v>
      </c>
      <c r="C63" s="152">
        <v>7840.7129600000017</v>
      </c>
      <c r="D63" s="152">
        <v>7370.2701824000023</v>
      </c>
      <c r="E63" s="152">
        <v>6928.0539714560027</v>
      </c>
      <c r="F63" s="152">
        <v>6650.9318125977625</v>
      </c>
      <c r="G63" s="152">
        <v>6384.8945400938519</v>
      </c>
      <c r="H63" s="158">
        <v>6129.4987584900973</v>
      </c>
      <c r="K63" s="2" t="s">
        <v>25</v>
      </c>
      <c r="L63" s="157">
        <f>0.031*L68</f>
        <v>7707.5202431009693</v>
      </c>
      <c r="M63" s="152">
        <f t="shared" ref="M63:R63" si="36">0.031*M68</f>
        <v>8844.8633380263018</v>
      </c>
      <c r="N63" s="152">
        <f t="shared" si="36"/>
        <v>10121.90565312963</v>
      </c>
      <c r="O63" s="152">
        <f t="shared" si="36"/>
        <v>11569.814136370607</v>
      </c>
      <c r="P63" s="152">
        <f t="shared" si="36"/>
        <v>13104.560689622222</v>
      </c>
      <c r="Q63" s="152">
        <f t="shared" si="36"/>
        <v>14578.582023837223</v>
      </c>
      <c r="R63" s="158">
        <f t="shared" si="36"/>
        <v>15829.41209989348</v>
      </c>
      <c r="U63" t="s">
        <v>25</v>
      </c>
      <c r="V63" s="29">
        <f>0.031*V68</f>
        <v>39466.281285052049</v>
      </c>
      <c r="W63" s="29">
        <f t="shared" ref="W63:AB63" si="37">0.031*W68</f>
        <v>38786.008647626892</v>
      </c>
      <c r="X63" s="29">
        <f t="shared" si="37"/>
        <v>38251.077017679425</v>
      </c>
      <c r="Y63" s="29">
        <f t="shared" si="37"/>
        <v>38487.361884974896</v>
      </c>
      <c r="Z63" s="29">
        <f t="shared" si="37"/>
        <v>38766.257526927351</v>
      </c>
      <c r="AA63" s="29">
        <f t="shared" si="37"/>
        <v>39085.123259030326</v>
      </c>
      <c r="AB63" s="29">
        <f t="shared" si="37"/>
        <v>39481.000847319956</v>
      </c>
      <c r="AC63">
        <f t="shared" si="19"/>
        <v>19375.698636226065</v>
      </c>
    </row>
    <row r="64" spans="1:29" x14ac:dyDescent="0.35">
      <c r="A64" s="2" t="s">
        <v>26</v>
      </c>
      <c r="B64" s="157">
        <v>8341.1840000000011</v>
      </c>
      <c r="C64" s="152">
        <v>7840.7129600000017</v>
      </c>
      <c r="D64" s="152">
        <v>7370.2701824000023</v>
      </c>
      <c r="E64" s="152">
        <v>6928.0539714560027</v>
      </c>
      <c r="F64" s="152">
        <v>6650.9318125977625</v>
      </c>
      <c r="G64" s="152">
        <v>6384.8945400938519</v>
      </c>
      <c r="H64" s="158">
        <v>6129.4987584900973</v>
      </c>
      <c r="K64" s="2" t="s">
        <v>26</v>
      </c>
      <c r="L64" s="157">
        <f>0.013*L68</f>
        <v>3232.1859083971808</v>
      </c>
      <c r="M64" s="152">
        <f t="shared" ref="M64:R64" si="38">0.013*M68</f>
        <v>3709.1362385271586</v>
      </c>
      <c r="N64" s="152">
        <f t="shared" si="38"/>
        <v>4244.6701126027474</v>
      </c>
      <c r="O64" s="152">
        <f t="shared" si="38"/>
        <v>4851.8575410586418</v>
      </c>
      <c r="P64" s="152">
        <f t="shared" si="38"/>
        <v>5495.4609343577058</v>
      </c>
      <c r="Q64" s="152">
        <f t="shared" si="38"/>
        <v>6113.5989132220611</v>
      </c>
      <c r="R64" s="158">
        <f t="shared" si="38"/>
        <v>6638.1405580198461</v>
      </c>
      <c r="U64" t="s">
        <v>26</v>
      </c>
      <c r="V64" s="29">
        <f>0.013*V68</f>
        <v>16550.376022763761</v>
      </c>
      <c r="W64" s="29">
        <f t="shared" ref="W64:AB64" si="39">0.013*W68</f>
        <v>16265.100400617728</v>
      </c>
      <c r="X64" s="29">
        <f t="shared" si="39"/>
        <v>16040.774233220403</v>
      </c>
      <c r="Y64" s="29">
        <f t="shared" si="39"/>
        <v>16139.861435634633</v>
      </c>
      <c r="Z64" s="29">
        <f t="shared" si="39"/>
        <v>16256.817672582436</v>
      </c>
      <c r="AA64" s="29">
        <f t="shared" si="39"/>
        <v>16390.535560238521</v>
      </c>
      <c r="AB64" s="29">
        <f t="shared" si="39"/>
        <v>16556.548742424497</v>
      </c>
      <c r="AC64">
        <f t="shared" si="19"/>
        <v>8125.2929764818973</v>
      </c>
    </row>
    <row r="65" spans="1:28" x14ac:dyDescent="0.35">
      <c r="A65" s="2" t="s">
        <v>27</v>
      </c>
      <c r="B65" s="157">
        <v>6185.2000000000007</v>
      </c>
      <c r="C65" s="152">
        <v>5814.0880000000006</v>
      </c>
      <c r="D65" s="152">
        <v>5465.2427200000011</v>
      </c>
      <c r="E65" s="152">
        <v>5137.3281568000011</v>
      </c>
      <c r="F65" s="152">
        <v>4931.835030528001</v>
      </c>
      <c r="G65" s="152">
        <v>4734.5616293068806</v>
      </c>
      <c r="H65" s="158">
        <v>4545.1791641346053</v>
      </c>
      <c r="K65" s="2" t="s">
        <v>27</v>
      </c>
      <c r="L65" s="157">
        <v>57993</v>
      </c>
      <c r="M65" s="152">
        <v>69252</v>
      </c>
      <c r="N65" s="152">
        <v>76022</v>
      </c>
      <c r="O65" s="152">
        <v>79781</v>
      </c>
      <c r="P65" s="152">
        <v>89612</v>
      </c>
      <c r="Q65" s="152">
        <v>96751</v>
      </c>
      <c r="R65" s="158">
        <v>102101</v>
      </c>
      <c r="U65" t="s">
        <v>27</v>
      </c>
      <c r="V65">
        <v>301914</v>
      </c>
      <c r="W65">
        <v>314137</v>
      </c>
      <c r="X65">
        <v>315887</v>
      </c>
      <c r="Y65">
        <v>327659</v>
      </c>
      <c r="Z65">
        <v>326861</v>
      </c>
      <c r="AA65">
        <v>327951</v>
      </c>
      <c r="AB65">
        <v>330233</v>
      </c>
    </row>
    <row r="66" spans="1:28" x14ac:dyDescent="0.35">
      <c r="A66" s="2" t="s">
        <v>28</v>
      </c>
      <c r="B66" s="157">
        <v>11045</v>
      </c>
      <c r="C66" s="152">
        <v>10382.300000000001</v>
      </c>
      <c r="D66" s="152">
        <v>9759.362000000001</v>
      </c>
      <c r="E66" s="152">
        <v>9173.8002800000013</v>
      </c>
      <c r="F66" s="152">
        <v>8806.8482688000004</v>
      </c>
      <c r="G66" s="152">
        <v>8454.5743380479998</v>
      </c>
      <c r="H66" s="158">
        <v>8116.39136452608</v>
      </c>
      <c r="K66" s="2" t="s">
        <v>28</v>
      </c>
      <c r="L66" s="157">
        <f xml:space="preserve"> 0.0644*L68</f>
        <v>16011.751730829112</v>
      </c>
      <c r="M66" s="152">
        <f t="shared" ref="M66:R66" si="40" xml:space="preserve"> 0.0644*M68</f>
        <v>18374.490289319157</v>
      </c>
      <c r="N66" s="152">
        <f t="shared" si="40"/>
        <v>21027.442711662843</v>
      </c>
      <c r="O66" s="152">
        <f t="shared" si="40"/>
        <v>24035.355818782809</v>
      </c>
      <c r="P66" s="152">
        <f t="shared" si="40"/>
        <v>27223.668013279712</v>
      </c>
      <c r="Q66" s="152">
        <f t="shared" si="40"/>
        <v>30285.828462423135</v>
      </c>
      <c r="R66" s="158">
        <f t="shared" si="40"/>
        <v>32884.32707203678</v>
      </c>
      <c r="U66" t="s">
        <v>28</v>
      </c>
      <c r="V66" s="29">
        <f>0.0644*V68</f>
        <v>81988.016605075871</v>
      </c>
      <c r="W66" s="29">
        <f t="shared" ref="W66:AB66" si="41">0.0644*W68</f>
        <v>80574.805061521663</v>
      </c>
      <c r="X66" s="29">
        <f t="shared" si="41"/>
        <v>79463.527739953381</v>
      </c>
      <c r="Y66" s="29">
        <f t="shared" si="41"/>
        <v>79954.390496528489</v>
      </c>
      <c r="Z66" s="29">
        <f t="shared" si="41"/>
        <v>80533.773701100683</v>
      </c>
      <c r="AA66" s="29">
        <f t="shared" si="41"/>
        <v>81196.191544566216</v>
      </c>
      <c r="AB66" s="29">
        <f t="shared" si="41"/>
        <v>82018.595308625969</v>
      </c>
    </row>
    <row r="67" spans="1:28" x14ac:dyDescent="0.35">
      <c r="A67" s="6" t="s">
        <v>29</v>
      </c>
      <c r="B67" s="159">
        <f>AVERAGE(B40:B66)</f>
        <v>10244.49112592593</v>
      </c>
      <c r="C67" s="160">
        <f t="shared" ref="C67:H67" si="42">AVERAGE(C40:C66)</f>
        <v>9629.8216583703688</v>
      </c>
      <c r="D67" s="160">
        <f t="shared" si="42"/>
        <v>9052.0323588681513</v>
      </c>
      <c r="E67" s="160">
        <f t="shared" si="42"/>
        <v>8508.9104173360629</v>
      </c>
      <c r="F67" s="160">
        <f t="shared" si="42"/>
        <v>8169.1557984697938</v>
      </c>
      <c r="G67" s="160">
        <f t="shared" si="42"/>
        <v>7842.9985320050573</v>
      </c>
      <c r="H67" s="161">
        <f t="shared" si="42"/>
        <v>7529.8638143414555</v>
      </c>
      <c r="K67" s="6" t="s">
        <v>29</v>
      </c>
      <c r="L67" s="159">
        <v>1024902.6852613216</v>
      </c>
      <c r="M67" s="160">
        <v>1176140.1721943968</v>
      </c>
      <c r="N67" s="160">
        <v>1345954.0755848268</v>
      </c>
      <c r="O67" s="160">
        <v>1538488.8008506647</v>
      </c>
      <c r="P67" s="160">
        <v>1742570.764181362</v>
      </c>
      <c r="Q67" s="160">
        <v>1938577.8294786201</v>
      </c>
      <c r="R67" s="161">
        <v>2104906.1767707574</v>
      </c>
      <c r="U67" t="s">
        <v>55</v>
      </c>
      <c r="V67">
        <v>5248004.0779049043</v>
      </c>
      <c r="W67">
        <v>5157545.2492782865</v>
      </c>
      <c r="X67">
        <v>5086413.0502477232</v>
      </c>
      <c r="Y67">
        <v>5117832.8827411253</v>
      </c>
      <c r="Z67">
        <v>5154918.856352495</v>
      </c>
      <c r="AA67">
        <v>5197319.8277106555</v>
      </c>
      <c r="AB67">
        <v>5249961.4024941921</v>
      </c>
    </row>
    <row r="68" spans="1:28" x14ac:dyDescent="0.35">
      <c r="K68" s="138" t="s">
        <v>93</v>
      </c>
      <c r="L68" s="29">
        <f>L67- L45-L49-L50-L54-L59-L60-L62-L65</f>
        <v>248629.6852613216</v>
      </c>
      <c r="M68" s="29">
        <f t="shared" ref="M68:AB68" si="43">M67- M45-M49-M50-M54-M59-M60-M62-M65</f>
        <v>285318.17219439684</v>
      </c>
      <c r="N68" s="29">
        <f t="shared" si="43"/>
        <v>326513.08558482677</v>
      </c>
      <c r="O68" s="29">
        <f t="shared" si="43"/>
        <v>373219.81085066474</v>
      </c>
      <c r="P68" s="29">
        <f t="shared" si="43"/>
        <v>422727.764181362</v>
      </c>
      <c r="Q68" s="29">
        <f t="shared" si="43"/>
        <v>470276.8394786201</v>
      </c>
      <c r="R68" s="29">
        <f t="shared" si="43"/>
        <v>510626.19677075744</v>
      </c>
      <c r="S68" s="29">
        <f t="shared" si="43"/>
        <v>0</v>
      </c>
      <c r="T68" s="29">
        <f t="shared" si="43"/>
        <v>0</v>
      </c>
      <c r="U68" s="29" t="s">
        <v>93</v>
      </c>
      <c r="V68" s="29">
        <f t="shared" si="43"/>
        <v>1273105.8479049047</v>
      </c>
      <c r="W68" s="29">
        <f t="shared" si="43"/>
        <v>1251161.5692782868</v>
      </c>
      <c r="X68" s="29">
        <f t="shared" si="43"/>
        <v>1233905.7102477234</v>
      </c>
      <c r="Y68" s="29">
        <f t="shared" si="43"/>
        <v>1241527.8027411257</v>
      </c>
      <c r="Z68" s="29">
        <f t="shared" si="43"/>
        <v>1250524.4363524951</v>
      </c>
      <c r="AA68" s="29">
        <f t="shared" si="43"/>
        <v>1260810.4277106556</v>
      </c>
      <c r="AB68" s="29">
        <f t="shared" si="43"/>
        <v>1273580.6724941921</v>
      </c>
    </row>
    <row r="69" spans="1:28" x14ac:dyDescent="0.35">
      <c r="B69" s="29"/>
      <c r="C69" s="29"/>
      <c r="D69" s="29"/>
      <c r="E69" s="29"/>
      <c r="F69" s="29"/>
      <c r="G69" s="29"/>
      <c r="H69" s="29"/>
    </row>
    <row r="75" spans="1:28" x14ac:dyDescent="0.35">
      <c r="H75" s="139" t="s">
        <v>70</v>
      </c>
      <c r="I75" s="139" t="s">
        <v>94</v>
      </c>
    </row>
    <row r="76" spans="1:28" x14ac:dyDescent="0.35">
      <c r="H76" s="140" t="s">
        <v>2</v>
      </c>
      <c r="I76" s="140" t="s">
        <v>95</v>
      </c>
    </row>
    <row r="77" spans="1:28" x14ac:dyDescent="0.35">
      <c r="H77" s="140" t="s">
        <v>3</v>
      </c>
      <c r="I77" s="140" t="s">
        <v>96</v>
      </c>
    </row>
    <row r="78" spans="1:28" x14ac:dyDescent="0.35">
      <c r="H78" s="140" t="s">
        <v>4</v>
      </c>
      <c r="I78" s="140" t="s">
        <v>97</v>
      </c>
    </row>
    <row r="79" spans="1:28" x14ac:dyDescent="0.35">
      <c r="H79" s="140" t="s">
        <v>5</v>
      </c>
      <c r="I79" s="140" t="s">
        <v>98</v>
      </c>
    </row>
    <row r="80" spans="1:28" x14ac:dyDescent="0.35">
      <c r="H80" s="140" t="s">
        <v>6</v>
      </c>
      <c r="I80" s="140" t="s">
        <v>99</v>
      </c>
    </row>
    <row r="81" spans="8:9" x14ac:dyDescent="0.35">
      <c r="H81" s="140" t="s">
        <v>8</v>
      </c>
      <c r="I81" s="140" t="s">
        <v>100</v>
      </c>
    </row>
    <row r="82" spans="8:9" x14ac:dyDescent="0.35">
      <c r="H82" s="140" t="s">
        <v>9</v>
      </c>
      <c r="I82" s="140" t="s">
        <v>101</v>
      </c>
    </row>
    <row r="83" spans="8:9" x14ac:dyDescent="0.35">
      <c r="H83" s="140" t="s">
        <v>10</v>
      </c>
      <c r="I83" s="140" t="s">
        <v>102</v>
      </c>
    </row>
    <row r="84" spans="8:9" x14ac:dyDescent="0.35">
      <c r="H84" s="140" t="s">
        <v>13</v>
      </c>
      <c r="I84" s="140" t="s">
        <v>103</v>
      </c>
    </row>
    <row r="85" spans="8:9" x14ac:dyDescent="0.35">
      <c r="H85" s="140" t="s">
        <v>14</v>
      </c>
      <c r="I85" s="140" t="s">
        <v>104</v>
      </c>
    </row>
    <row r="86" spans="8:9" x14ac:dyDescent="0.35">
      <c r="H86" s="140" t="s">
        <v>15</v>
      </c>
      <c r="I86" s="140" t="s">
        <v>105</v>
      </c>
    </row>
    <row r="87" spans="8:9" x14ac:dyDescent="0.35">
      <c r="H87" s="140" t="s">
        <v>17</v>
      </c>
      <c r="I87" s="140" t="s">
        <v>106</v>
      </c>
    </row>
    <row r="88" spans="8:9" x14ac:dyDescent="0.35">
      <c r="H88" s="140" t="s">
        <v>18</v>
      </c>
      <c r="I88" s="140" t="s">
        <v>107</v>
      </c>
    </row>
    <row r="89" spans="8:9" ht="30" x14ac:dyDescent="0.35">
      <c r="H89" s="140" t="s">
        <v>19</v>
      </c>
      <c r="I89" s="140" t="s">
        <v>108</v>
      </c>
    </row>
    <row r="90" spans="8:9" x14ac:dyDescent="0.35">
      <c r="H90" s="140" t="s">
        <v>20</v>
      </c>
      <c r="I90" s="140" t="s">
        <v>109</v>
      </c>
    </row>
    <row r="91" spans="8:9" x14ac:dyDescent="0.35">
      <c r="H91" s="140" t="s">
        <v>23</v>
      </c>
      <c r="I91" s="140" t="s">
        <v>110</v>
      </c>
    </row>
    <row r="92" spans="8:9" x14ac:dyDescent="0.35">
      <c r="H92" s="140" t="s">
        <v>25</v>
      </c>
      <c r="I92" s="140" t="s">
        <v>111</v>
      </c>
    </row>
    <row r="93" spans="8:9" x14ac:dyDescent="0.35">
      <c r="H93" s="140" t="s">
        <v>26</v>
      </c>
      <c r="I93" s="140" t="s">
        <v>112</v>
      </c>
    </row>
    <row r="94" spans="8:9" x14ac:dyDescent="0.35">
      <c r="H94" s="140" t="s">
        <v>28</v>
      </c>
      <c r="I94" s="140" t="s">
        <v>113</v>
      </c>
    </row>
  </sheetData>
  <mergeCells count="12">
    <mergeCell ref="BA3:BB3"/>
    <mergeCell ref="BA4:BJ4"/>
    <mergeCell ref="A3:B3"/>
    <mergeCell ref="AE4:AO4"/>
    <mergeCell ref="AP4:AZ4"/>
    <mergeCell ref="K3:L3"/>
    <mergeCell ref="U38:AB38"/>
    <mergeCell ref="K4:T4"/>
    <mergeCell ref="A4:J4"/>
    <mergeCell ref="U4:AB4"/>
    <mergeCell ref="A38:H38"/>
    <mergeCell ref="K38:R38"/>
  </mergeCells>
  <phoneticPr fontId="16" type="noConversion"/>
  <pageMargins left="0.7" right="0.7" top="0.75" bottom="0.75" header="0.3" footer="0.3"/>
  <pageSetup paperSize="9" orientation="portrait" r:id="rId1"/>
  <drawing r:id="rId2"/>
  <tableParts count="8">
    <tablePart r:id="rId3"/>
    <tablePart r:id="rId4"/>
    <tablePart r:id="rId5"/>
    <tablePart r:id="rId6"/>
    <tablePart r:id="rId7"/>
    <tablePart r:id="rId8"/>
    <tablePart r:id="rId9"/>
    <tablePart r:id="rId10"/>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A4D26-DD67-467E-B0D9-8BDA8C7C40EF}">
  <sheetPr codeName="Sheet3"/>
  <dimension ref="A1:G124"/>
  <sheetViews>
    <sheetView showGridLines="0" zoomScaleNormal="100" workbookViewId="0">
      <selection activeCell="C16" sqref="C16"/>
    </sheetView>
  </sheetViews>
  <sheetFormatPr defaultColWidth="9.1796875" defaultRowHeight="15" x14ac:dyDescent="0.35"/>
  <cols>
    <col min="1" max="1" width="6.7265625" bestFit="1" customWidth="1"/>
    <col min="2" max="2" width="14.08984375" bestFit="1" customWidth="1"/>
    <col min="3" max="3" width="19" bestFit="1" customWidth="1"/>
    <col min="4" max="4" width="14" bestFit="1" customWidth="1"/>
    <col min="5" max="5" width="15.6328125" bestFit="1" customWidth="1"/>
    <col min="6" max="6" width="13" bestFit="1" customWidth="1"/>
    <col min="7" max="7" width="29.81640625" bestFit="1" customWidth="1"/>
    <col min="8" max="112" width="45.36328125" bestFit="1" customWidth="1"/>
    <col min="113" max="113" width="22" bestFit="1" customWidth="1"/>
    <col min="114" max="114" width="49.81640625" bestFit="1" customWidth="1"/>
    <col min="115" max="115" width="47.81640625" bestFit="1" customWidth="1"/>
    <col min="116" max="116" width="21.453125" bestFit="1" customWidth="1"/>
    <col min="117" max="121" width="12" bestFit="1" customWidth="1"/>
    <col min="122" max="122" width="11" bestFit="1" customWidth="1"/>
    <col min="123" max="123" width="12" bestFit="1" customWidth="1"/>
    <col min="124" max="124" width="11" bestFit="1" customWidth="1"/>
    <col min="125" max="125" width="10" bestFit="1" customWidth="1"/>
    <col min="126" max="132" width="12" bestFit="1" customWidth="1"/>
    <col min="133" max="133" width="11" bestFit="1" customWidth="1"/>
    <col min="134" max="141" width="12" bestFit="1" customWidth="1"/>
    <col min="142" max="143" width="11" bestFit="1" customWidth="1"/>
    <col min="144" max="144" width="12" bestFit="1" customWidth="1"/>
    <col min="145" max="145" width="11" bestFit="1" customWidth="1"/>
    <col min="146" max="172" width="12" bestFit="1" customWidth="1"/>
    <col min="173" max="173" width="11" bestFit="1" customWidth="1"/>
    <col min="174" max="182" width="12" bestFit="1" customWidth="1"/>
    <col min="183" max="183" width="11" bestFit="1" customWidth="1"/>
    <col min="184" max="189" width="12" bestFit="1" customWidth="1"/>
    <col min="190" max="190" width="11" bestFit="1" customWidth="1"/>
    <col min="191" max="191" width="6.36328125" bestFit="1" customWidth="1"/>
    <col min="192" max="192" width="9.81640625" bestFit="1" customWidth="1"/>
    <col min="193" max="196" width="8" bestFit="1" customWidth="1"/>
    <col min="197" max="197" width="7" bestFit="1" customWidth="1"/>
    <col min="198" max="200" width="8" bestFit="1" customWidth="1"/>
    <col min="201" max="201" width="7" bestFit="1" customWidth="1"/>
    <col min="202" max="202" width="8" bestFit="1" customWidth="1"/>
    <col min="203" max="204" width="12" bestFit="1" customWidth="1"/>
    <col min="205" max="205" width="7" bestFit="1" customWidth="1"/>
    <col min="206" max="206" width="5" bestFit="1" customWidth="1"/>
    <col min="207" max="207" width="12" bestFit="1" customWidth="1"/>
    <col min="208" max="208" width="7" bestFit="1" customWidth="1"/>
    <col min="209" max="209" width="12" bestFit="1" customWidth="1"/>
    <col min="210" max="210" width="7" bestFit="1" customWidth="1"/>
    <col min="211" max="211" width="12" bestFit="1" customWidth="1"/>
    <col min="212" max="214" width="7" bestFit="1" customWidth="1"/>
    <col min="215" max="215" width="5" bestFit="1" customWidth="1"/>
    <col min="216" max="217" width="7" bestFit="1" customWidth="1"/>
    <col min="218" max="218" width="11" bestFit="1" customWidth="1"/>
    <col min="219" max="219" width="7" bestFit="1" customWidth="1"/>
    <col min="220" max="220" width="12" bestFit="1" customWidth="1"/>
    <col min="221" max="221" width="7" bestFit="1" customWidth="1"/>
    <col min="222" max="222" width="12" bestFit="1" customWidth="1"/>
    <col min="223" max="224" width="7" bestFit="1" customWidth="1"/>
    <col min="225" max="225" width="12" bestFit="1" customWidth="1"/>
    <col min="226" max="226" width="7" bestFit="1" customWidth="1"/>
    <col min="227" max="227" width="12" bestFit="1" customWidth="1"/>
    <col min="228" max="230" width="7" bestFit="1" customWidth="1"/>
    <col min="231" max="233" width="12" bestFit="1" customWidth="1"/>
    <col min="234" max="235" width="8" bestFit="1" customWidth="1"/>
    <col min="236" max="237" width="9" bestFit="1" customWidth="1"/>
    <col min="238" max="238" width="8" bestFit="1" customWidth="1"/>
    <col min="239" max="239" width="6" bestFit="1" customWidth="1"/>
    <col min="240" max="240" width="9" bestFit="1" customWidth="1"/>
    <col min="241" max="241" width="12" bestFit="1" customWidth="1"/>
    <col min="242" max="242" width="8" bestFit="1" customWidth="1"/>
    <col min="243" max="243" width="6" bestFit="1" customWidth="1"/>
    <col min="244" max="244" width="6.36328125" bestFit="1" customWidth="1"/>
    <col min="245" max="245" width="9.81640625" bestFit="1" customWidth="1"/>
  </cols>
  <sheetData>
    <row r="1" spans="1:7" x14ac:dyDescent="0.35">
      <c r="A1" s="118" t="s">
        <v>70</v>
      </c>
      <c r="B1" t="s">
        <v>2</v>
      </c>
    </row>
    <row r="3" spans="1:7" x14ac:dyDescent="0.35">
      <c r="A3" s="118" t="s">
        <v>82</v>
      </c>
      <c r="B3" t="s">
        <v>0</v>
      </c>
      <c r="C3" t="s">
        <v>80</v>
      </c>
      <c r="D3" t="s">
        <v>253</v>
      </c>
      <c r="E3" t="s">
        <v>81</v>
      </c>
      <c r="F3" t="s">
        <v>239</v>
      </c>
      <c r="G3" t="s">
        <v>141</v>
      </c>
    </row>
    <row r="4" spans="1:7" x14ac:dyDescent="0.35">
      <c r="A4" s="119" t="s">
        <v>72</v>
      </c>
      <c r="B4">
        <v>35.6</v>
      </c>
      <c r="C4">
        <v>11.866666666666667</v>
      </c>
      <c r="E4">
        <v>464.66551939373409</v>
      </c>
      <c r="F4">
        <v>512.13218606040073</v>
      </c>
      <c r="G4">
        <v>17.8</v>
      </c>
    </row>
    <row r="5" spans="1:7" x14ac:dyDescent="0.35">
      <c r="A5" s="119" t="s">
        <v>61</v>
      </c>
      <c r="B5">
        <v>97.01</v>
      </c>
      <c r="C5">
        <v>32.336666666666659</v>
      </c>
      <c r="D5">
        <v>272.73882513802789</v>
      </c>
      <c r="E5">
        <v>203.79336092237287</v>
      </c>
      <c r="F5">
        <v>605.8788527270674</v>
      </c>
      <c r="G5">
        <v>48.504999999999995</v>
      </c>
    </row>
    <row r="6" spans="1:7" x14ac:dyDescent="0.35">
      <c r="A6" s="119" t="s">
        <v>62</v>
      </c>
      <c r="B6">
        <v>93.45</v>
      </c>
      <c r="C6">
        <v>31.150000000000006</v>
      </c>
      <c r="D6">
        <v>995.97283751894395</v>
      </c>
      <c r="F6">
        <v>1120.572837518944</v>
      </c>
      <c r="G6">
        <v>46.725000000000001</v>
      </c>
    </row>
    <row r="7" spans="1:7" x14ac:dyDescent="0.35">
      <c r="A7" s="119" t="s">
        <v>63</v>
      </c>
      <c r="B7">
        <v>91.67</v>
      </c>
      <c r="C7">
        <v>30.556666666666672</v>
      </c>
      <c r="D7">
        <v>1342.9587772216437</v>
      </c>
      <c r="F7">
        <v>1465.1854438883104</v>
      </c>
      <c r="G7">
        <v>45.835000000000001</v>
      </c>
    </row>
    <row r="8" spans="1:7" x14ac:dyDescent="0.35">
      <c r="A8" s="119" t="s">
        <v>64</v>
      </c>
      <c r="B8">
        <v>89.89</v>
      </c>
      <c r="C8">
        <v>29.963333333333338</v>
      </c>
      <c r="D8">
        <v>1313.4338219820745</v>
      </c>
      <c r="E8">
        <v>-182.57938163233746</v>
      </c>
      <c r="F8">
        <v>1250.7077736830702</v>
      </c>
      <c r="G8">
        <v>44.945</v>
      </c>
    </row>
    <row r="9" spans="1:7" x14ac:dyDescent="0.35">
      <c r="A9" s="119" t="s">
        <v>65</v>
      </c>
      <c r="B9">
        <v>87.22</v>
      </c>
      <c r="C9">
        <v>29.073333333333338</v>
      </c>
      <c r="D9">
        <v>1447.1776592767546</v>
      </c>
      <c r="E9">
        <v>-182.57938163233746</v>
      </c>
      <c r="F9">
        <v>1380.8916109777506</v>
      </c>
      <c r="G9">
        <v>43.61</v>
      </c>
    </row>
    <row r="10" spans="1:7" x14ac:dyDescent="0.35">
      <c r="A10" s="119" t="s">
        <v>66</v>
      </c>
      <c r="B10">
        <v>83.66</v>
      </c>
      <c r="C10">
        <v>27.88666666666667</v>
      </c>
      <c r="D10">
        <v>1049.057138166462</v>
      </c>
      <c r="E10">
        <v>-182.57938163233746</v>
      </c>
      <c r="F10">
        <v>978.02442320079115</v>
      </c>
      <c r="G10">
        <v>41.83</v>
      </c>
    </row>
    <row r="14" spans="1:7" ht="18.600000000000001" x14ac:dyDescent="0.35">
      <c r="A14" s="118" t="s">
        <v>70</v>
      </c>
      <c r="B14" t="s">
        <v>2</v>
      </c>
      <c r="D14" s="120"/>
    </row>
    <row r="16" spans="1:7" x14ac:dyDescent="0.35">
      <c r="A16" s="118" t="s">
        <v>76</v>
      </c>
      <c r="B16" t="s">
        <v>75</v>
      </c>
      <c r="C16" t="s">
        <v>253</v>
      </c>
      <c r="D16" t="s">
        <v>81</v>
      </c>
    </row>
    <row r="17" spans="1:6" x14ac:dyDescent="0.35">
      <c r="A17" s="119" t="s">
        <v>72</v>
      </c>
      <c r="B17" s="173">
        <v>5.1830821867947883</v>
      </c>
      <c r="C17" s="173">
        <v>0</v>
      </c>
      <c r="D17" s="173">
        <v>50.738755120521304</v>
      </c>
    </row>
    <row r="18" spans="1:6" x14ac:dyDescent="0.35">
      <c r="A18" s="119" t="s">
        <v>61</v>
      </c>
      <c r="B18" s="173">
        <v>14.123898959015797</v>
      </c>
      <c r="C18" s="173">
        <v>29.781483417561468</v>
      </c>
      <c r="D18" s="173">
        <v>22.253042249658538</v>
      </c>
    </row>
    <row r="19" spans="1:6" x14ac:dyDescent="0.35">
      <c r="A19" s="119" t="s">
        <v>62</v>
      </c>
      <c r="B19" s="173">
        <v>13.60559074033632</v>
      </c>
      <c r="C19" s="173">
        <v>108.75440462098101</v>
      </c>
      <c r="D19" s="173">
        <v>0</v>
      </c>
    </row>
    <row r="20" spans="1:6" x14ac:dyDescent="0.35">
      <c r="A20" s="119" t="s">
        <v>63</v>
      </c>
      <c r="B20" s="173">
        <v>13.34643663099658</v>
      </c>
      <c r="C20" s="173">
        <v>146.64323839502552</v>
      </c>
      <c r="D20" s="173">
        <v>0</v>
      </c>
    </row>
    <row r="21" spans="1:6" x14ac:dyDescent="0.35">
      <c r="A21" s="119" t="s">
        <v>64</v>
      </c>
      <c r="B21" s="173">
        <v>13.08728252165684</v>
      </c>
      <c r="C21" s="173">
        <v>143.4192860867083</v>
      </c>
      <c r="D21" s="173">
        <v>-19.936599872498086</v>
      </c>
    </row>
    <row r="22" spans="1:6" x14ac:dyDescent="0.35">
      <c r="A22" s="119" t="s">
        <v>65</v>
      </c>
      <c r="B22" s="173">
        <v>12.698551357647231</v>
      </c>
      <c r="C22" s="173">
        <v>158.02333034251527</v>
      </c>
      <c r="D22" s="173">
        <v>-19.936599872498086</v>
      </c>
    </row>
    <row r="23" spans="1:6" x14ac:dyDescent="0.35">
      <c r="A23" s="119" t="s">
        <v>66</v>
      </c>
      <c r="B23" s="173">
        <v>12.180243138967752</v>
      </c>
      <c r="C23" s="173">
        <v>114.55089955956126</v>
      </c>
      <c r="D23" s="173">
        <v>-19.936599872498086</v>
      </c>
    </row>
    <row r="25" spans="1:6" x14ac:dyDescent="0.35">
      <c r="A25" s="119"/>
    </row>
    <row r="26" spans="1:6" x14ac:dyDescent="0.35">
      <c r="A26" s="119"/>
      <c r="C26">
        <f>Dashboard!$E$26</f>
        <v>0.5</v>
      </c>
      <c r="D26" s="142" t="str">
        <f>"("&amp;TEXT(C26,"0%")&amp;" of pop.)"</f>
        <v>(50% of pop.)</v>
      </c>
    </row>
    <row r="27" spans="1:6" ht="18.600000000000001" x14ac:dyDescent="0.35">
      <c r="A27" s="118" t="s">
        <v>70</v>
      </c>
      <c r="B27" t="s">
        <v>2</v>
      </c>
      <c r="C27" s="142">
        <f>Dashboard!$E$23</f>
        <v>0.375</v>
      </c>
      <c r="D27" s="142" t="str">
        <f>"("&amp;TEXT(C27,"0,0%")&amp;" of SCF)"</f>
        <v>(37,5% of SCF)</v>
      </c>
      <c r="E27" s="120"/>
    </row>
    <row r="29" spans="1:6" x14ac:dyDescent="0.35">
      <c r="A29" s="118" t="s">
        <v>162</v>
      </c>
      <c r="B29" t="s">
        <v>254</v>
      </c>
      <c r="C29" t="s">
        <v>240</v>
      </c>
      <c r="D29" t="s">
        <v>241</v>
      </c>
      <c r="E29" t="s">
        <v>255</v>
      </c>
      <c r="F29" t="s">
        <v>163</v>
      </c>
    </row>
    <row r="30" spans="1:6" x14ac:dyDescent="0.35">
      <c r="A30" s="119" t="s">
        <v>72</v>
      </c>
      <c r="B30">
        <v>105.36482188113871</v>
      </c>
      <c r="C30">
        <v>10.965718124559288</v>
      </c>
      <c r="D30">
        <v>3.8873116400960912</v>
      </c>
      <c r="E30">
        <v>286.25792740863062</v>
      </c>
      <c r="F30">
        <v>0</v>
      </c>
    </row>
    <row r="31" spans="1:6" x14ac:dyDescent="0.35">
      <c r="A31" s="119" t="s">
        <v>61</v>
      </c>
      <c r="B31">
        <v>114.66197555370184</v>
      </c>
      <c r="C31">
        <v>29.881581889424055</v>
      </c>
      <c r="D31">
        <v>10.592924219261848</v>
      </c>
      <c r="E31">
        <v>293.56840615833681</v>
      </c>
      <c r="F31">
        <v>0</v>
      </c>
    </row>
    <row r="32" spans="1:6" x14ac:dyDescent="0.35">
      <c r="A32" s="119" t="s">
        <v>62</v>
      </c>
      <c r="B32">
        <v>227.71300229721425</v>
      </c>
      <c r="C32">
        <v>28.785010076968131</v>
      </c>
      <c r="D32">
        <v>10.20419305525224</v>
      </c>
      <c r="E32">
        <v>613.57064022192276</v>
      </c>
      <c r="F32">
        <v>70</v>
      </c>
    </row>
    <row r="33" spans="1:6" x14ac:dyDescent="0.35">
      <c r="A33" s="119" t="s">
        <v>63</v>
      </c>
      <c r="B33">
        <v>303.29630426329851</v>
      </c>
      <c r="C33">
        <v>28.236724170740167</v>
      </c>
      <c r="D33">
        <v>10.009827473247435</v>
      </c>
      <c r="E33">
        <v>827.33187662445823</v>
      </c>
      <c r="F33">
        <v>75.752727272727256</v>
      </c>
    </row>
    <row r="34" spans="1:6" x14ac:dyDescent="0.35">
      <c r="A34" s="119" t="s">
        <v>64</v>
      </c>
      <c r="B34">
        <v>256.78083431966303</v>
      </c>
      <c r="C34">
        <v>27.6884382645122</v>
      </c>
      <c r="D34">
        <v>9.8154618912426308</v>
      </c>
      <c r="E34">
        <v>696.66466476300354</v>
      </c>
      <c r="F34">
        <v>93.672727272727272</v>
      </c>
    </row>
    <row r="35" spans="1:6" x14ac:dyDescent="0.35">
      <c r="A35" s="119" t="s">
        <v>65</v>
      </c>
      <c r="B35">
        <v>285.69737445826979</v>
      </c>
      <c r="C35">
        <v>26.866009405170253</v>
      </c>
      <c r="D35">
        <v>9.5239135182354229</v>
      </c>
      <c r="E35">
        <v>779.05776704785626</v>
      </c>
      <c r="F35">
        <v>105.28</v>
      </c>
    </row>
    <row r="36" spans="1:6" x14ac:dyDescent="0.35">
      <c r="A36" s="119" t="s">
        <v>66</v>
      </c>
      <c r="B36">
        <v>198.36378172835217</v>
      </c>
      <c r="C36">
        <v>25.769437592714326</v>
      </c>
      <c r="D36">
        <v>9.1351823542258135</v>
      </c>
      <c r="E36">
        <v>533.79499097492806</v>
      </c>
      <c r="F36">
        <v>84.458181818181799</v>
      </c>
    </row>
    <row r="38" spans="1:6" x14ac:dyDescent="0.35">
      <c r="A38" s="119"/>
    </row>
    <row r="39" spans="1:6" x14ac:dyDescent="0.35">
      <c r="A39" s="118" t="s">
        <v>70</v>
      </c>
      <c r="B39" t="s">
        <v>2</v>
      </c>
    </row>
    <row r="41" spans="1:6" x14ac:dyDescent="0.35">
      <c r="A41" s="118" t="s">
        <v>120</v>
      </c>
      <c r="B41" t="s">
        <v>84</v>
      </c>
      <c r="C41" t="s">
        <v>85</v>
      </c>
    </row>
    <row r="42" spans="1:6" x14ac:dyDescent="0.35">
      <c r="A42" s="119" t="s">
        <v>72</v>
      </c>
      <c r="B42">
        <v>105.36482188113871</v>
      </c>
      <c r="C42">
        <v>286.25792740863062</v>
      </c>
    </row>
    <row r="43" spans="1:6" x14ac:dyDescent="0.35">
      <c r="A43" s="119" t="s">
        <v>61</v>
      </c>
      <c r="B43">
        <v>114.66197555370184</v>
      </c>
      <c r="C43">
        <v>293.56840615833681</v>
      </c>
    </row>
    <row r="44" spans="1:6" x14ac:dyDescent="0.35">
      <c r="A44" s="119" t="s">
        <v>62</v>
      </c>
      <c r="B44">
        <v>227.71300229721425</v>
      </c>
      <c r="C44">
        <v>613.57064022192276</v>
      </c>
    </row>
    <row r="45" spans="1:6" x14ac:dyDescent="0.35">
      <c r="A45" s="119" t="s">
        <v>63</v>
      </c>
      <c r="B45">
        <v>303.29630426329851</v>
      </c>
      <c r="C45">
        <v>827.33187662445823</v>
      </c>
    </row>
    <row r="46" spans="1:6" x14ac:dyDescent="0.35">
      <c r="A46" s="119" t="s">
        <v>64</v>
      </c>
      <c r="B46">
        <v>256.78083431966303</v>
      </c>
      <c r="C46">
        <v>696.66466476300354</v>
      </c>
    </row>
    <row r="47" spans="1:6" x14ac:dyDescent="0.35">
      <c r="A47" s="119" t="s">
        <v>65</v>
      </c>
      <c r="B47">
        <v>285.69737445826979</v>
      </c>
      <c r="C47">
        <v>779.05776704785626</v>
      </c>
    </row>
    <row r="48" spans="1:6" x14ac:dyDescent="0.35">
      <c r="A48" s="119" t="s">
        <v>66</v>
      </c>
      <c r="B48">
        <v>198.36378172835217</v>
      </c>
      <c r="C48">
        <v>533.79499097492806</v>
      </c>
    </row>
    <row r="51" spans="1:6" x14ac:dyDescent="0.35">
      <c r="A51" s="118" t="s">
        <v>70</v>
      </c>
      <c r="B51" t="s">
        <v>2</v>
      </c>
    </row>
    <row r="53" spans="1:6" x14ac:dyDescent="0.35">
      <c r="A53" s="118" t="s">
        <v>213</v>
      </c>
      <c r="B53" t="s">
        <v>258</v>
      </c>
      <c r="C53" t="s">
        <v>124</v>
      </c>
      <c r="D53" t="s">
        <v>256</v>
      </c>
      <c r="E53" t="s">
        <v>257</v>
      </c>
      <c r="F53" t="s">
        <v>162</v>
      </c>
    </row>
    <row r="54" spans="1:6" x14ac:dyDescent="0.35">
      <c r="A54" s="119" t="s">
        <v>72</v>
      </c>
      <c r="B54">
        <v>512.13218606040073</v>
      </c>
      <c r="C54">
        <v>47.466666666666669</v>
      </c>
      <c r="D54">
        <v>247.26599999999999</v>
      </c>
      <c r="E54">
        <v>90.677030320379416</v>
      </c>
    </row>
    <row r="55" spans="1:6" x14ac:dyDescent="0.35">
      <c r="A55" s="119" t="s">
        <v>61</v>
      </c>
      <c r="B55">
        <v>605.8788527270674</v>
      </c>
      <c r="C55">
        <v>129.34666666666666</v>
      </c>
      <c r="D55">
        <v>357.16199999999998</v>
      </c>
      <c r="E55">
        <v>86.232211705886115</v>
      </c>
      <c r="F55">
        <v>0</v>
      </c>
    </row>
    <row r="56" spans="1:6" x14ac:dyDescent="0.35">
      <c r="A56" s="119" t="s">
        <v>62</v>
      </c>
      <c r="B56">
        <v>1120.572837518944</v>
      </c>
      <c r="C56">
        <v>124.60000000000001</v>
      </c>
      <c r="D56">
        <v>412.10999999999996</v>
      </c>
      <c r="E56">
        <v>82.22128613715482</v>
      </c>
      <c r="F56">
        <v>320.52999999999997</v>
      </c>
    </row>
    <row r="57" spans="1:6" x14ac:dyDescent="0.35">
      <c r="A57" s="119" t="s">
        <v>63</v>
      </c>
      <c r="B57">
        <v>1465.1854438883104</v>
      </c>
      <c r="C57">
        <v>122.22666666666667</v>
      </c>
      <c r="D57">
        <v>412.10999999999996</v>
      </c>
      <c r="E57">
        <v>79.785173825913432</v>
      </c>
      <c r="F57">
        <v>346.8717381818181</v>
      </c>
    </row>
    <row r="58" spans="1:6" x14ac:dyDescent="0.35">
      <c r="A58" s="119" t="s">
        <v>64</v>
      </c>
      <c r="B58">
        <v>1250.7077736830702</v>
      </c>
      <c r="C58">
        <v>119.85333333333334</v>
      </c>
      <c r="D58">
        <v>412.10999999999996</v>
      </c>
      <c r="E58">
        <v>78.865337923096959</v>
      </c>
      <c r="F58">
        <v>428.92741818181815</v>
      </c>
    </row>
    <row r="59" spans="1:6" x14ac:dyDescent="0.35">
      <c r="A59" s="119" t="s">
        <v>65</v>
      </c>
      <c r="B59">
        <v>1380.8916109777506</v>
      </c>
      <c r="C59">
        <v>116.29333333333334</v>
      </c>
      <c r="D59">
        <v>412.10999999999996</v>
      </c>
      <c r="E59">
        <v>77.88384813224026</v>
      </c>
      <c r="F59">
        <v>482.07711999999998</v>
      </c>
    </row>
    <row r="60" spans="1:6" x14ac:dyDescent="0.35">
      <c r="A60" s="119" t="s">
        <v>66</v>
      </c>
      <c r="B60">
        <v>978.02442320079115</v>
      </c>
      <c r="C60">
        <v>111.54666666666667</v>
      </c>
      <c r="D60">
        <v>412.10999999999996</v>
      </c>
      <c r="E60">
        <v>76.901267989792728</v>
      </c>
      <c r="F60">
        <v>386.73401454545444</v>
      </c>
    </row>
    <row r="62" spans="1:6" x14ac:dyDescent="0.35">
      <c r="A62" s="119"/>
    </row>
    <row r="63" spans="1:6" x14ac:dyDescent="0.35">
      <c r="A63" s="118" t="s">
        <v>71</v>
      </c>
      <c r="B63" t="s">
        <v>61</v>
      </c>
    </row>
    <row r="65" spans="1:5" x14ac:dyDescent="0.35">
      <c r="A65" s="260" t="s">
        <v>213</v>
      </c>
      <c r="B65" t="s">
        <v>0</v>
      </c>
      <c r="C65" t="s">
        <v>157</v>
      </c>
      <c r="D65" t="s">
        <v>259</v>
      </c>
      <c r="E65" t="s">
        <v>81</v>
      </c>
    </row>
    <row r="66" spans="1:5" x14ac:dyDescent="0.35">
      <c r="A66" s="119" t="s">
        <v>2</v>
      </c>
      <c r="B66">
        <v>97.01</v>
      </c>
      <c r="C66">
        <v>32.336666666666659</v>
      </c>
      <c r="D66">
        <v>272.73882513802789</v>
      </c>
      <c r="E66">
        <v>203.79336092237287</v>
      </c>
    </row>
    <row r="67" spans="1:5" x14ac:dyDescent="0.35">
      <c r="A67" s="119" t="s">
        <v>3</v>
      </c>
      <c r="B67">
        <v>277.95</v>
      </c>
      <c r="C67">
        <v>92.649999999999977</v>
      </c>
      <c r="D67">
        <v>345.68750907991921</v>
      </c>
      <c r="E67">
        <v>339.00181223681318</v>
      </c>
    </row>
    <row r="68" spans="1:5" x14ac:dyDescent="0.35">
      <c r="A68" s="119" t="s">
        <v>4</v>
      </c>
      <c r="B68">
        <v>419.65</v>
      </c>
      <c r="C68">
        <v>139.88333333333333</v>
      </c>
      <c r="D68">
        <v>0</v>
      </c>
      <c r="E68">
        <v>161.80029887523727</v>
      </c>
    </row>
    <row r="69" spans="1:5" x14ac:dyDescent="0.35">
      <c r="A69" s="119" t="s">
        <v>5</v>
      </c>
      <c r="B69">
        <v>211.46</v>
      </c>
      <c r="C69">
        <v>70.48666666666665</v>
      </c>
      <c r="D69">
        <v>6.9799143857276107</v>
      </c>
      <c r="E69">
        <v>114.0239689388476</v>
      </c>
    </row>
    <row r="70" spans="1:5" x14ac:dyDescent="0.35">
      <c r="A70" s="119" t="s">
        <v>6</v>
      </c>
      <c r="B70">
        <v>21.8</v>
      </c>
      <c r="C70">
        <v>7.2666666666666657</v>
      </c>
      <c r="D70">
        <v>14.644447614033915</v>
      </c>
      <c r="E70">
        <v>19.581019418519247</v>
      </c>
    </row>
    <row r="71" spans="1:5" x14ac:dyDescent="0.35">
      <c r="A71" s="119" t="s">
        <v>7</v>
      </c>
      <c r="B71">
        <v>261.60000000000002</v>
      </c>
      <c r="C71">
        <v>87.199999999999989</v>
      </c>
      <c r="D71">
        <v>202.12571488166719</v>
      </c>
      <c r="E71">
        <v>249.80509929305407</v>
      </c>
    </row>
    <row r="72" spans="1:5" x14ac:dyDescent="0.35">
      <c r="A72" s="119" t="s">
        <v>8</v>
      </c>
      <c r="B72">
        <v>54.5</v>
      </c>
      <c r="C72">
        <v>18.166666666666671</v>
      </c>
      <c r="D72">
        <v>118.0115947307031</v>
      </c>
      <c r="E72">
        <v>94.700754641291653</v>
      </c>
    </row>
    <row r="73" spans="1:5" x14ac:dyDescent="0.35">
      <c r="A73" s="119" t="s">
        <v>9</v>
      </c>
      <c r="B73">
        <v>31.61</v>
      </c>
      <c r="C73">
        <v>10.536666666666669</v>
      </c>
      <c r="D73">
        <v>18.838067744739909</v>
      </c>
      <c r="E73">
        <v>27.045678344482504</v>
      </c>
    </row>
    <row r="74" spans="1:5" x14ac:dyDescent="0.35">
      <c r="A74" s="119" t="s">
        <v>10</v>
      </c>
      <c r="B74">
        <v>97.01</v>
      </c>
      <c r="C74">
        <v>32.336666666666659</v>
      </c>
      <c r="D74">
        <v>101.77326844940116</v>
      </c>
      <c r="E74">
        <v>107.70832633629603</v>
      </c>
    </row>
    <row r="75" spans="1:5" x14ac:dyDescent="0.35">
      <c r="A75" s="119" t="s">
        <v>11</v>
      </c>
      <c r="B75">
        <v>1219.71</v>
      </c>
      <c r="C75">
        <v>406.56999999999994</v>
      </c>
      <c r="D75">
        <v>1375.512274976252</v>
      </c>
      <c r="E75">
        <v>1408.1251690226425</v>
      </c>
    </row>
    <row r="76" spans="1:5" x14ac:dyDescent="0.35">
      <c r="A76" s="119" t="s">
        <v>12</v>
      </c>
      <c r="B76">
        <v>891.62</v>
      </c>
      <c r="C76">
        <v>297.20666666666659</v>
      </c>
      <c r="D76">
        <v>2412.0716801165272</v>
      </c>
      <c r="E76">
        <v>1819.858999078192</v>
      </c>
    </row>
    <row r="77" spans="1:5" x14ac:dyDescent="0.35">
      <c r="A77" s="119" t="s">
        <v>13</v>
      </c>
      <c r="B77">
        <v>601.67999999999995</v>
      </c>
      <c r="C77">
        <v>200.55999999999995</v>
      </c>
      <c r="D77">
        <v>0</v>
      </c>
      <c r="E77">
        <v>288.81162674898098</v>
      </c>
    </row>
    <row r="78" spans="1:5" x14ac:dyDescent="0.35">
      <c r="A78" s="119" t="s">
        <v>14</v>
      </c>
      <c r="B78">
        <v>471.96999999999997</v>
      </c>
      <c r="C78">
        <v>157.32333333333332</v>
      </c>
      <c r="D78">
        <v>52.974300340751</v>
      </c>
      <c r="E78">
        <v>275.51354542234367</v>
      </c>
    </row>
    <row r="79" spans="1:5" x14ac:dyDescent="0.35">
      <c r="A79" s="119" t="s">
        <v>15</v>
      </c>
      <c r="B79">
        <v>111.18</v>
      </c>
      <c r="C79">
        <v>37.06</v>
      </c>
      <c r="D79">
        <v>138.33592093693068</v>
      </c>
      <c r="E79">
        <v>135.63496127231872</v>
      </c>
    </row>
    <row r="80" spans="1:5" x14ac:dyDescent="0.35">
      <c r="A80" s="119" t="s">
        <v>16</v>
      </c>
      <c r="B80">
        <v>1178.29</v>
      </c>
      <c r="C80">
        <v>392.76333333333332</v>
      </c>
      <c r="D80">
        <v>1112.4373934176717</v>
      </c>
      <c r="E80">
        <v>1238.7071988118212</v>
      </c>
    </row>
    <row r="81" spans="1:5" x14ac:dyDescent="0.35">
      <c r="A81" s="119" t="s">
        <v>17</v>
      </c>
      <c r="B81">
        <v>77.39</v>
      </c>
      <c r="C81">
        <v>25.796666666666667</v>
      </c>
      <c r="D81">
        <v>11.105173595398938</v>
      </c>
      <c r="E81">
        <v>46.536017133194484</v>
      </c>
    </row>
    <row r="82" spans="1:5" x14ac:dyDescent="0.35">
      <c r="A82" s="119" t="s">
        <v>18</v>
      </c>
      <c r="B82">
        <v>111.18</v>
      </c>
      <c r="C82">
        <v>37.06</v>
      </c>
      <c r="D82">
        <v>24.711374754699563</v>
      </c>
      <c r="E82">
        <v>71.776376764382874</v>
      </c>
    </row>
    <row r="83" spans="1:5" x14ac:dyDescent="0.35">
      <c r="A83" s="119" t="s">
        <v>19</v>
      </c>
      <c r="B83">
        <v>10.9</v>
      </c>
      <c r="C83">
        <v>3.6333333333333329</v>
      </c>
      <c r="D83">
        <v>60.039532436093708</v>
      </c>
      <c r="E83">
        <v>39.418374648950675</v>
      </c>
    </row>
    <row r="84" spans="1:5" x14ac:dyDescent="0.35">
      <c r="A84" s="119" t="s">
        <v>20</v>
      </c>
      <c r="B84">
        <v>7.63</v>
      </c>
      <c r="C84">
        <v>2.5433333333333339</v>
      </c>
      <c r="D84">
        <v>3.7019678094223503</v>
      </c>
      <c r="E84">
        <v>6.0532799443635836</v>
      </c>
    </row>
    <row r="85" spans="1:5" x14ac:dyDescent="0.35">
      <c r="A85" s="119" t="s">
        <v>21</v>
      </c>
      <c r="B85">
        <v>120.99000000000001</v>
      </c>
      <c r="C85">
        <v>40.330000000000013</v>
      </c>
      <c r="D85">
        <v>436.32807867075621</v>
      </c>
      <c r="E85">
        <v>308.21850843346112</v>
      </c>
    </row>
    <row r="86" spans="1:5" x14ac:dyDescent="0.35">
      <c r="A86" s="119" t="s">
        <v>22</v>
      </c>
      <c r="B86">
        <v>1918.3999999999999</v>
      </c>
      <c r="C86">
        <v>639.46666666666647</v>
      </c>
      <c r="D86">
        <v>286.57810331907694</v>
      </c>
      <c r="E86">
        <v>1159.9167823258692</v>
      </c>
    </row>
    <row r="87" spans="1:5" x14ac:dyDescent="0.35">
      <c r="A87" s="119" t="s">
        <v>23</v>
      </c>
      <c r="B87">
        <v>204.92000000000002</v>
      </c>
      <c r="C87">
        <v>68.306666666666672</v>
      </c>
      <c r="D87">
        <v>112.17003515406995</v>
      </c>
      <c r="E87">
        <v>169.73709787339968</v>
      </c>
    </row>
    <row r="88" spans="1:5" x14ac:dyDescent="0.35">
      <c r="A88" s="119" t="s">
        <v>24</v>
      </c>
      <c r="B88">
        <v>1008.25</v>
      </c>
      <c r="C88">
        <v>336.08333333333326</v>
      </c>
      <c r="D88">
        <v>0</v>
      </c>
      <c r="E88">
        <v>445.64042218600019</v>
      </c>
    </row>
    <row r="89" spans="1:5" x14ac:dyDescent="0.35">
      <c r="A89" s="119" t="s">
        <v>25</v>
      </c>
      <c r="B89">
        <v>256.14999999999998</v>
      </c>
      <c r="C89">
        <v>85.383333333333326</v>
      </c>
      <c r="D89">
        <v>28.264211011019128</v>
      </c>
      <c r="E89">
        <v>149.25484313011475</v>
      </c>
    </row>
    <row r="90" spans="1:5" x14ac:dyDescent="0.35">
      <c r="A90" s="119" t="s">
        <v>26</v>
      </c>
      <c r="B90">
        <v>59.949999999999996</v>
      </c>
      <c r="C90">
        <v>19.983333333333327</v>
      </c>
      <c r="D90">
        <v>41.742590508570522</v>
      </c>
      <c r="E90">
        <v>54.674166048888289</v>
      </c>
    </row>
    <row r="91" spans="1:5" x14ac:dyDescent="0.35">
      <c r="A91" s="119" t="s">
        <v>27</v>
      </c>
      <c r="B91">
        <v>1146.68</v>
      </c>
      <c r="C91">
        <v>382.22666666666669</v>
      </c>
      <c r="D91">
        <v>562.20580255439972</v>
      </c>
      <c r="E91">
        <v>913.010926531314</v>
      </c>
    </row>
    <row r="92" spans="1:5" x14ac:dyDescent="0.35">
      <c r="A92" s="119" t="s">
        <v>28</v>
      </c>
      <c r="B92">
        <v>67.58</v>
      </c>
      <c r="C92">
        <v>22.526666666666671</v>
      </c>
      <c r="D92">
        <v>132.59876765314453</v>
      </c>
      <c r="E92">
        <v>109.70933088566841</v>
      </c>
    </row>
    <row r="95" spans="1:5" x14ac:dyDescent="0.35">
      <c r="A95" s="118" t="s">
        <v>71</v>
      </c>
      <c r="B95" t="s">
        <v>61</v>
      </c>
    </row>
    <row r="97" spans="1:4" x14ac:dyDescent="0.35">
      <c r="A97" s="260" t="s">
        <v>213</v>
      </c>
      <c r="B97" t="s">
        <v>158</v>
      </c>
      <c r="C97" t="s">
        <v>259</v>
      </c>
      <c r="D97" t="s">
        <v>81</v>
      </c>
    </row>
    <row r="98" spans="1:4" x14ac:dyDescent="0.35">
      <c r="A98" s="119" t="s">
        <v>2</v>
      </c>
      <c r="B98">
        <v>14.123898959015797</v>
      </c>
      <c r="C98">
        <v>29.781483417561468</v>
      </c>
      <c r="D98">
        <v>22.253042249658538</v>
      </c>
    </row>
    <row r="99" spans="1:4" x14ac:dyDescent="0.35">
      <c r="A99" s="119" t="s">
        <v>3</v>
      </c>
      <c r="B99">
        <v>31.361597698231357</v>
      </c>
      <c r="C99">
        <v>29.253406878219447</v>
      </c>
      <c r="D99">
        <v>28.687637491479492</v>
      </c>
    </row>
    <row r="100" spans="1:4" x14ac:dyDescent="0.35">
      <c r="A100" s="119" t="s">
        <v>4</v>
      </c>
      <c r="B100">
        <v>86.816653736746829</v>
      </c>
      <c r="C100">
        <v>0</v>
      </c>
      <c r="D100">
        <v>25.104778723853727</v>
      </c>
    </row>
    <row r="101" spans="1:4" x14ac:dyDescent="0.35">
      <c r="A101" s="119" t="s">
        <v>5</v>
      </c>
      <c r="B101">
        <v>73.005351286034866</v>
      </c>
      <c r="C101">
        <v>1.8073315343675842</v>
      </c>
      <c r="D101">
        <v>29.524590610783946</v>
      </c>
    </row>
    <row r="102" spans="1:4" x14ac:dyDescent="0.35">
      <c r="A102" s="119" t="s">
        <v>6</v>
      </c>
      <c r="B102">
        <v>30.089717046238786</v>
      </c>
      <c r="C102">
        <v>15.159883658420203</v>
      </c>
      <c r="D102">
        <v>20.270206437390527</v>
      </c>
    </row>
    <row r="103" spans="1:4" x14ac:dyDescent="0.35">
      <c r="A103" s="119" t="s">
        <v>7</v>
      </c>
      <c r="B103">
        <v>31.997064489496378</v>
      </c>
      <c r="C103">
        <v>18.541942471485847</v>
      </c>
      <c r="D103">
        <v>22.915796651046151</v>
      </c>
    </row>
    <row r="104" spans="1:4" x14ac:dyDescent="0.35">
      <c r="A104" s="119" t="s">
        <v>8</v>
      </c>
      <c r="B104">
        <v>12.190348375552201</v>
      </c>
      <c r="C104">
        <v>19.797281451216758</v>
      </c>
      <c r="D104">
        <v>15.886722805115189</v>
      </c>
    </row>
    <row r="105" spans="1:4" x14ac:dyDescent="0.35">
      <c r="A105" s="119" t="s">
        <v>9</v>
      </c>
      <c r="B105">
        <v>30.652121212121212</v>
      </c>
      <c r="C105">
        <v>13.700412905265388</v>
      </c>
      <c r="D105">
        <v>19.669584250532729</v>
      </c>
    </row>
    <row r="106" spans="1:4" x14ac:dyDescent="0.35">
      <c r="A106" s="119" t="s">
        <v>10</v>
      </c>
      <c r="B106">
        <v>23.081132524387343</v>
      </c>
      <c r="C106">
        <v>18.160825918879578</v>
      </c>
      <c r="D106">
        <v>19.219901202051396</v>
      </c>
    </row>
    <row r="107" spans="1:4" x14ac:dyDescent="0.35">
      <c r="A107" s="119" t="s">
        <v>11</v>
      </c>
      <c r="B107">
        <v>23.752756802547214</v>
      </c>
      <c r="C107">
        <v>20.090149633783458</v>
      </c>
      <c r="D107">
        <v>20.566479749699017</v>
      </c>
    </row>
    <row r="108" spans="1:4" x14ac:dyDescent="0.35">
      <c r="A108" s="119" t="s">
        <v>12</v>
      </c>
      <c r="B108">
        <v>14.244951431492842</v>
      </c>
      <c r="C108">
        <v>28.902315952316517</v>
      </c>
      <c r="D108">
        <v>21.806209248923889</v>
      </c>
    </row>
    <row r="109" spans="1:4" x14ac:dyDescent="0.35">
      <c r="A109" s="119" t="s">
        <v>13</v>
      </c>
      <c r="B109">
        <v>77.131045091818081</v>
      </c>
      <c r="C109">
        <v>0</v>
      </c>
      <c r="D109">
        <v>27.767678756752332</v>
      </c>
    </row>
    <row r="110" spans="1:4" x14ac:dyDescent="0.35">
      <c r="A110" s="119" t="s">
        <v>14</v>
      </c>
      <c r="B110">
        <v>65.653973222048336</v>
      </c>
      <c r="C110">
        <v>5.5267918978352633</v>
      </c>
      <c r="D110">
        <v>28.744240523979514</v>
      </c>
    </row>
    <row r="111" spans="1:4" x14ac:dyDescent="0.35">
      <c r="A111" s="119" t="s">
        <v>15</v>
      </c>
      <c r="B111">
        <v>27.698056801195815</v>
      </c>
      <c r="C111">
        <v>25.847518859665669</v>
      </c>
      <c r="D111">
        <v>25.342855245201552</v>
      </c>
    </row>
    <row r="112" spans="1:4" x14ac:dyDescent="0.35">
      <c r="A112" s="119" t="s">
        <v>16</v>
      </c>
      <c r="B112">
        <v>26.641117385381516</v>
      </c>
      <c r="C112">
        <v>18.864143280895217</v>
      </c>
      <c r="D112">
        <v>21.005361937423839</v>
      </c>
    </row>
    <row r="113" spans="1:4" x14ac:dyDescent="0.35">
      <c r="A113" s="119" t="s">
        <v>17</v>
      </c>
      <c r="B113">
        <v>55.032888888888891</v>
      </c>
      <c r="C113">
        <v>5.9227592508794338</v>
      </c>
      <c r="D113">
        <v>24.819209137703726</v>
      </c>
    </row>
    <row r="114" spans="1:4" x14ac:dyDescent="0.35">
      <c r="A114" s="119" t="s">
        <v>18</v>
      </c>
      <c r="B114">
        <v>51.365211365211366</v>
      </c>
      <c r="C114">
        <v>8.562499915003313</v>
      </c>
      <c r="D114">
        <v>24.870539419398085</v>
      </c>
    </row>
    <row r="115" spans="1:4" x14ac:dyDescent="0.35">
      <c r="A115" s="119" t="s">
        <v>19</v>
      </c>
      <c r="B115">
        <v>21.986888552697931</v>
      </c>
      <c r="C115">
        <v>90.831365258840705</v>
      </c>
      <c r="D115">
        <v>59.634454839562288</v>
      </c>
    </row>
    <row r="116" spans="1:4" x14ac:dyDescent="0.35">
      <c r="A116" s="119" t="s">
        <v>20</v>
      </c>
      <c r="B116">
        <v>18.069863824748374</v>
      </c>
      <c r="C116">
        <v>6.5754312778372128</v>
      </c>
      <c r="D116">
        <v>10.751829386080967</v>
      </c>
    </row>
    <row r="117" spans="1:4" x14ac:dyDescent="0.35">
      <c r="A117" s="119" t="s">
        <v>21</v>
      </c>
      <c r="B117">
        <v>8.9906927492615516</v>
      </c>
      <c r="C117">
        <v>24.31745408631534</v>
      </c>
      <c r="D117">
        <v>17.177646348629612</v>
      </c>
    </row>
    <row r="118" spans="1:4" x14ac:dyDescent="0.35">
      <c r="A118" s="119" t="s">
        <v>22</v>
      </c>
      <c r="B118">
        <v>69.846991252742043</v>
      </c>
      <c r="C118">
        <v>7.8255127746122968</v>
      </c>
      <c r="D118">
        <v>31.673542020312638</v>
      </c>
    </row>
    <row r="119" spans="1:4" x14ac:dyDescent="0.35">
      <c r="A119" s="119" t="s">
        <v>23</v>
      </c>
      <c r="B119">
        <v>25.679197994987469</v>
      </c>
      <c r="C119">
        <v>10.542296537036648</v>
      </c>
      <c r="D119">
        <v>15.952734762537563</v>
      </c>
    </row>
    <row r="120" spans="1:4" x14ac:dyDescent="0.35">
      <c r="A120" s="119" t="s">
        <v>24</v>
      </c>
      <c r="B120">
        <v>70.502062792811685</v>
      </c>
      <c r="C120">
        <v>0</v>
      </c>
      <c r="D120">
        <v>23.371115071638357</v>
      </c>
    </row>
    <row r="121" spans="1:4" x14ac:dyDescent="0.35">
      <c r="A121" s="119" t="s">
        <v>25</v>
      </c>
      <c r="B121">
        <v>62.955453149001535</v>
      </c>
      <c r="C121">
        <v>5.209992813091084</v>
      </c>
      <c r="D121">
        <v>27.512413480205485</v>
      </c>
    </row>
    <row r="122" spans="1:4" x14ac:dyDescent="0.35">
      <c r="A122" s="119" t="s">
        <v>26</v>
      </c>
      <c r="B122">
        <v>37.633396107972374</v>
      </c>
      <c r="C122">
        <v>19.652820390099116</v>
      </c>
      <c r="D122">
        <v>25.741132791378664</v>
      </c>
    </row>
    <row r="123" spans="1:4" x14ac:dyDescent="0.35">
      <c r="A123" s="119" t="s">
        <v>27</v>
      </c>
      <c r="B123">
        <v>31.446044151926507</v>
      </c>
      <c r="C123">
        <v>11.563262084623606</v>
      </c>
      <c r="D123">
        <v>18.778505276250804</v>
      </c>
    </row>
    <row r="124" spans="1:4" x14ac:dyDescent="0.35">
      <c r="A124" s="119" t="s">
        <v>28</v>
      </c>
      <c r="B124">
        <v>8.5392974475612835</v>
      </c>
      <c r="C124">
        <v>12.566221346962143</v>
      </c>
      <c r="D124">
        <v>10.397017710923844</v>
      </c>
    </row>
  </sheetData>
  <pageMargins left="0.7" right="0.7" top="0.75" bottom="0.75" header="0.3" footer="0.3"/>
  <pageSetup paperSize="9" orientation="portrait"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B2D94-C20D-4F2B-ADC6-FA96B32919C4}">
  <sheetPr codeName="Sheet4"/>
  <dimension ref="A1:Y5043"/>
  <sheetViews>
    <sheetView showRowColHeaders="0" workbookViewId="0">
      <selection activeCell="A2" sqref="A2"/>
    </sheetView>
  </sheetViews>
  <sheetFormatPr defaultColWidth="9.1796875" defaultRowHeight="15" x14ac:dyDescent="0.35"/>
  <cols>
    <col min="1" max="1" width="10.6328125" bestFit="1" customWidth="1"/>
    <col min="2" max="2" width="9.1796875" bestFit="1" customWidth="1"/>
    <col min="3" max="3" width="13.1796875" bestFit="1" customWidth="1"/>
    <col min="4" max="4" width="29.453125" bestFit="1" customWidth="1"/>
    <col min="5" max="5" width="40.7265625" bestFit="1" customWidth="1"/>
    <col min="6" max="6" width="27.26953125" bestFit="1" customWidth="1"/>
    <col min="7" max="7" width="38.7265625" bestFit="1" customWidth="1"/>
    <col min="8" max="8" width="23.26953125" bestFit="1" customWidth="1"/>
    <col min="9" max="9" width="27.26953125" bestFit="1" customWidth="1"/>
    <col min="10" max="10" width="35.6328125" bestFit="1" customWidth="1"/>
    <col min="11" max="11" width="47.08984375" bestFit="1" customWidth="1"/>
    <col min="12" max="12" width="40" bestFit="1" customWidth="1"/>
    <col min="13" max="13" width="47.36328125" bestFit="1" customWidth="1"/>
    <col min="14" max="14" width="36.90625" bestFit="1" customWidth="1"/>
    <col min="15" max="15" width="13.1796875" bestFit="1" customWidth="1"/>
    <col min="16" max="16" width="18.81640625" bestFit="1" customWidth="1"/>
    <col min="17" max="17" width="12.54296875" bestFit="1" customWidth="1"/>
    <col min="18" max="18" width="22.1796875" bestFit="1" customWidth="1"/>
    <col min="19" max="19" width="25.453125" bestFit="1" customWidth="1"/>
    <col min="20" max="20" width="12.54296875" bestFit="1" customWidth="1"/>
    <col min="21" max="21" width="20.08984375" bestFit="1" customWidth="1"/>
    <col min="22" max="22" width="11.453125" bestFit="1" customWidth="1"/>
    <col min="23" max="23" width="15.81640625" bestFit="1" customWidth="1"/>
    <col min="24" max="24" width="17.1796875" bestFit="1" customWidth="1"/>
    <col min="25" max="25" width="16.1796875" bestFit="1" customWidth="1"/>
    <col min="26" max="27" width="8.6328125" bestFit="1" customWidth="1"/>
  </cols>
  <sheetData>
    <row r="1" spans="1:25" x14ac:dyDescent="0.35">
      <c r="A1" t="s">
        <v>70</v>
      </c>
      <c r="B1" t="s">
        <v>71</v>
      </c>
      <c r="C1" t="s">
        <v>40</v>
      </c>
      <c r="D1" t="s">
        <v>42</v>
      </c>
      <c r="E1" t="s">
        <v>48</v>
      </c>
      <c r="F1" t="s">
        <v>49</v>
      </c>
      <c r="G1" s="90" t="s">
        <v>203</v>
      </c>
      <c r="H1" s="90" t="s">
        <v>204</v>
      </c>
      <c r="I1" s="90" t="s">
        <v>73</v>
      </c>
      <c r="J1" s="90" t="s">
        <v>53</v>
      </c>
      <c r="K1" s="90" t="s">
        <v>54</v>
      </c>
      <c r="L1" s="90" t="s">
        <v>57</v>
      </c>
      <c r="M1" s="90" t="s">
        <v>74</v>
      </c>
      <c r="N1" s="90" t="s">
        <v>205</v>
      </c>
      <c r="O1" s="90" t="s">
        <v>79</v>
      </c>
      <c r="P1" s="90" t="s">
        <v>83</v>
      </c>
      <c r="Q1" s="90" t="s">
        <v>206</v>
      </c>
      <c r="R1" s="90" t="s">
        <v>207</v>
      </c>
      <c r="S1" s="90" t="s">
        <v>86</v>
      </c>
      <c r="T1" s="90" t="s">
        <v>77</v>
      </c>
      <c r="U1" s="90" t="s">
        <v>208</v>
      </c>
      <c r="V1" s="90" t="s">
        <v>209</v>
      </c>
      <c r="W1" s="90" t="s">
        <v>210</v>
      </c>
      <c r="X1" s="90" t="s">
        <v>155</v>
      </c>
      <c r="Y1" s="90" t="s">
        <v>159</v>
      </c>
    </row>
    <row r="2" spans="1:25" x14ac:dyDescent="0.35">
      <c r="A2" t="s">
        <v>2</v>
      </c>
      <c r="B2" t="s">
        <v>72</v>
      </c>
      <c r="C2">
        <v>35.6</v>
      </c>
    </row>
    <row r="3" spans="1:25" x14ac:dyDescent="0.35">
      <c r="A3" t="s">
        <v>2</v>
      </c>
      <c r="B3" t="s">
        <v>61</v>
      </c>
      <c r="C3">
        <v>97.01</v>
      </c>
    </row>
    <row r="4" spans="1:25" x14ac:dyDescent="0.35">
      <c r="A4" t="s">
        <v>2</v>
      </c>
      <c r="B4" t="s">
        <v>62</v>
      </c>
      <c r="C4">
        <v>93.45</v>
      </c>
    </row>
    <row r="5" spans="1:25" x14ac:dyDescent="0.35">
      <c r="A5" t="s">
        <v>2</v>
      </c>
      <c r="B5" t="s">
        <v>63</v>
      </c>
      <c r="C5">
        <v>91.67</v>
      </c>
    </row>
    <row r="6" spans="1:25" x14ac:dyDescent="0.35">
      <c r="A6" t="s">
        <v>2</v>
      </c>
      <c r="B6" t="s">
        <v>64</v>
      </c>
      <c r="C6">
        <v>89.89</v>
      </c>
    </row>
    <row r="7" spans="1:25" x14ac:dyDescent="0.35">
      <c r="A7" t="s">
        <v>2</v>
      </c>
      <c r="B7" t="s">
        <v>65</v>
      </c>
      <c r="C7">
        <v>87.22</v>
      </c>
    </row>
    <row r="8" spans="1:25" x14ac:dyDescent="0.35">
      <c r="A8" t="s">
        <v>2</v>
      </c>
      <c r="B8" t="s">
        <v>66</v>
      </c>
      <c r="C8">
        <v>83.66</v>
      </c>
    </row>
    <row r="9" spans="1:25" x14ac:dyDescent="0.35">
      <c r="A9" t="s">
        <v>2</v>
      </c>
      <c r="B9" t="s">
        <v>47</v>
      </c>
      <c r="C9">
        <v>578.97925326729501</v>
      </c>
    </row>
    <row r="10" spans="1:25" x14ac:dyDescent="0.35">
      <c r="A10" t="s">
        <v>3</v>
      </c>
      <c r="B10" t="s">
        <v>72</v>
      </c>
      <c r="C10">
        <v>102</v>
      </c>
    </row>
    <row r="11" spans="1:25" x14ac:dyDescent="0.35">
      <c r="A11" t="s">
        <v>3</v>
      </c>
      <c r="B11" t="s">
        <v>61</v>
      </c>
      <c r="C11">
        <v>277.95</v>
      </c>
    </row>
    <row r="12" spans="1:25" x14ac:dyDescent="0.35">
      <c r="A12" t="s">
        <v>3</v>
      </c>
      <c r="B12" t="s">
        <v>62</v>
      </c>
      <c r="C12">
        <v>267.75</v>
      </c>
    </row>
    <row r="13" spans="1:25" x14ac:dyDescent="0.35">
      <c r="A13" t="s">
        <v>3</v>
      </c>
      <c r="B13" t="s">
        <v>63</v>
      </c>
      <c r="C13">
        <v>262.64999999999998</v>
      </c>
    </row>
    <row r="14" spans="1:25" x14ac:dyDescent="0.35">
      <c r="A14" t="s">
        <v>3</v>
      </c>
      <c r="B14" t="s">
        <v>64</v>
      </c>
      <c r="C14">
        <v>257.55</v>
      </c>
    </row>
    <row r="15" spans="1:25" x14ac:dyDescent="0.35">
      <c r="A15" t="s">
        <v>3</v>
      </c>
      <c r="B15" t="s">
        <v>65</v>
      </c>
      <c r="C15">
        <v>249.89999999999998</v>
      </c>
    </row>
    <row r="16" spans="1:25" x14ac:dyDescent="0.35">
      <c r="A16" t="s">
        <v>3</v>
      </c>
      <c r="B16" t="s">
        <v>66</v>
      </c>
      <c r="C16">
        <v>239.7</v>
      </c>
    </row>
    <row r="17" spans="1:3" x14ac:dyDescent="0.35">
      <c r="A17" t="s">
        <v>3</v>
      </c>
      <c r="B17" t="s">
        <v>47</v>
      </c>
      <c r="C17">
        <v>1659.7298763393271</v>
      </c>
    </row>
    <row r="18" spans="1:3" x14ac:dyDescent="0.35">
      <c r="A18" t="s">
        <v>4</v>
      </c>
      <c r="B18" t="s">
        <v>72</v>
      </c>
      <c r="C18">
        <v>154</v>
      </c>
    </row>
    <row r="19" spans="1:3" x14ac:dyDescent="0.35">
      <c r="A19" t="s">
        <v>4</v>
      </c>
      <c r="B19" t="s">
        <v>61</v>
      </c>
      <c r="C19">
        <v>419.65</v>
      </c>
    </row>
    <row r="20" spans="1:3" x14ac:dyDescent="0.35">
      <c r="A20" t="s">
        <v>4</v>
      </c>
      <c r="B20" t="s">
        <v>62</v>
      </c>
      <c r="C20">
        <v>404.25</v>
      </c>
    </row>
    <row r="21" spans="1:3" x14ac:dyDescent="0.35">
      <c r="A21" t="s">
        <v>4</v>
      </c>
      <c r="B21" t="s">
        <v>63</v>
      </c>
      <c r="C21">
        <v>396.55</v>
      </c>
    </row>
    <row r="22" spans="1:3" x14ac:dyDescent="0.35">
      <c r="A22" t="s">
        <v>4</v>
      </c>
      <c r="B22" t="s">
        <v>64</v>
      </c>
      <c r="C22">
        <v>388.85</v>
      </c>
    </row>
    <row r="23" spans="1:3" x14ac:dyDescent="0.35">
      <c r="A23" t="s">
        <v>4</v>
      </c>
      <c r="B23" t="s">
        <v>65</v>
      </c>
      <c r="C23">
        <v>377.3</v>
      </c>
    </row>
    <row r="24" spans="1:3" x14ac:dyDescent="0.35">
      <c r="A24" t="s">
        <v>4</v>
      </c>
      <c r="B24" t="s">
        <v>66</v>
      </c>
      <c r="C24">
        <v>361.9</v>
      </c>
    </row>
    <row r="25" spans="1:3" x14ac:dyDescent="0.35">
      <c r="A25" t="s">
        <v>4</v>
      </c>
      <c r="B25" t="s">
        <v>47</v>
      </c>
      <c r="C25">
        <v>2499.4902803080995</v>
      </c>
    </row>
    <row r="26" spans="1:3" x14ac:dyDescent="0.35">
      <c r="A26" t="s">
        <v>5</v>
      </c>
      <c r="B26" t="s">
        <v>72</v>
      </c>
      <c r="C26">
        <v>77.600000000000009</v>
      </c>
    </row>
    <row r="27" spans="1:3" x14ac:dyDescent="0.35">
      <c r="A27" t="s">
        <v>5</v>
      </c>
      <c r="B27" t="s">
        <v>61</v>
      </c>
      <c r="C27">
        <v>211.46</v>
      </c>
    </row>
    <row r="28" spans="1:3" x14ac:dyDescent="0.35">
      <c r="A28" t="s">
        <v>5</v>
      </c>
      <c r="B28" t="s">
        <v>62</v>
      </c>
      <c r="C28">
        <v>203.70000000000002</v>
      </c>
    </row>
    <row r="29" spans="1:3" x14ac:dyDescent="0.35">
      <c r="A29" t="s">
        <v>5</v>
      </c>
      <c r="B29" t="s">
        <v>63</v>
      </c>
      <c r="C29">
        <v>199.82</v>
      </c>
    </row>
    <row r="30" spans="1:3" x14ac:dyDescent="0.35">
      <c r="A30" t="s">
        <v>5</v>
      </c>
      <c r="B30" t="s">
        <v>64</v>
      </c>
      <c r="C30">
        <v>195.94</v>
      </c>
    </row>
    <row r="31" spans="1:3" x14ac:dyDescent="0.35">
      <c r="A31" t="s">
        <v>5</v>
      </c>
      <c r="B31" t="s">
        <v>65</v>
      </c>
      <c r="C31">
        <v>190.12</v>
      </c>
    </row>
    <row r="32" spans="1:3" x14ac:dyDescent="0.35">
      <c r="A32" t="s">
        <v>5</v>
      </c>
      <c r="B32" t="s">
        <v>66</v>
      </c>
      <c r="C32">
        <v>182.36</v>
      </c>
    </row>
    <row r="33" spans="1:3" x14ac:dyDescent="0.35">
      <c r="A33" t="s">
        <v>5</v>
      </c>
      <c r="B33" t="s">
        <v>47</v>
      </c>
      <c r="C33">
        <v>1263.0718990245693</v>
      </c>
    </row>
    <row r="34" spans="1:3" x14ac:dyDescent="0.35">
      <c r="A34" t="s">
        <v>6</v>
      </c>
      <c r="B34" t="s">
        <v>72</v>
      </c>
      <c r="C34">
        <v>8</v>
      </c>
    </row>
    <row r="35" spans="1:3" x14ac:dyDescent="0.35">
      <c r="A35" t="s">
        <v>6</v>
      </c>
      <c r="B35" t="s">
        <v>61</v>
      </c>
      <c r="C35">
        <v>21.8</v>
      </c>
    </row>
    <row r="36" spans="1:3" x14ac:dyDescent="0.35">
      <c r="A36" t="s">
        <v>6</v>
      </c>
      <c r="B36" t="s">
        <v>62</v>
      </c>
      <c r="C36">
        <v>21</v>
      </c>
    </row>
    <row r="37" spans="1:3" x14ac:dyDescent="0.35">
      <c r="A37" t="s">
        <v>6</v>
      </c>
      <c r="B37" t="s">
        <v>63</v>
      </c>
      <c r="C37">
        <v>20.6</v>
      </c>
    </row>
    <row r="38" spans="1:3" x14ac:dyDescent="0.35">
      <c r="A38" t="s">
        <v>6</v>
      </c>
      <c r="B38" t="s">
        <v>64</v>
      </c>
      <c r="C38">
        <v>20.2</v>
      </c>
    </row>
    <row r="39" spans="1:3" x14ac:dyDescent="0.35">
      <c r="A39" t="s">
        <v>6</v>
      </c>
      <c r="B39" t="s">
        <v>65</v>
      </c>
      <c r="C39">
        <v>19.600000000000001</v>
      </c>
    </row>
    <row r="40" spans="1:3" x14ac:dyDescent="0.35">
      <c r="A40" t="s">
        <v>6</v>
      </c>
      <c r="B40" t="s">
        <v>66</v>
      </c>
      <c r="C40">
        <v>18.8</v>
      </c>
    </row>
    <row r="41" spans="1:3" x14ac:dyDescent="0.35">
      <c r="A41" t="s">
        <v>6</v>
      </c>
      <c r="B41" t="s">
        <v>47</v>
      </c>
      <c r="C41">
        <v>131.12290733145167</v>
      </c>
    </row>
    <row r="42" spans="1:3" x14ac:dyDescent="0.35">
      <c r="A42" t="s">
        <v>7</v>
      </c>
      <c r="B42" t="s">
        <v>72</v>
      </c>
      <c r="C42">
        <v>96</v>
      </c>
    </row>
    <row r="43" spans="1:3" x14ac:dyDescent="0.35">
      <c r="A43" t="s">
        <v>7</v>
      </c>
      <c r="B43" t="s">
        <v>61</v>
      </c>
      <c r="C43">
        <v>261.60000000000002</v>
      </c>
    </row>
    <row r="44" spans="1:3" x14ac:dyDescent="0.35">
      <c r="A44" t="s">
        <v>7</v>
      </c>
      <c r="B44" t="s">
        <v>62</v>
      </c>
      <c r="C44">
        <v>252</v>
      </c>
    </row>
    <row r="45" spans="1:3" x14ac:dyDescent="0.35">
      <c r="A45" t="s">
        <v>7</v>
      </c>
      <c r="B45" t="s">
        <v>63</v>
      </c>
      <c r="C45">
        <v>247.20000000000002</v>
      </c>
    </row>
    <row r="46" spans="1:3" x14ac:dyDescent="0.35">
      <c r="A46" t="s">
        <v>7</v>
      </c>
      <c r="B46" t="s">
        <v>64</v>
      </c>
      <c r="C46">
        <v>242.4</v>
      </c>
    </row>
    <row r="47" spans="1:3" x14ac:dyDescent="0.35">
      <c r="A47" t="s">
        <v>7</v>
      </c>
      <c r="B47" t="s">
        <v>65</v>
      </c>
      <c r="C47">
        <v>235.20000000000002</v>
      </c>
    </row>
    <row r="48" spans="1:3" x14ac:dyDescent="0.35">
      <c r="A48" t="s">
        <v>7</v>
      </c>
      <c r="B48" t="s">
        <v>66</v>
      </c>
      <c r="C48">
        <v>225.6</v>
      </c>
    </row>
    <row r="49" spans="1:3" x14ac:dyDescent="0.35">
      <c r="A49" t="s">
        <v>7</v>
      </c>
      <c r="B49" t="s">
        <v>47</v>
      </c>
      <c r="C49">
        <v>1561.6344733929345</v>
      </c>
    </row>
    <row r="50" spans="1:3" x14ac:dyDescent="0.35">
      <c r="A50" t="s">
        <v>8</v>
      </c>
      <c r="B50" t="s">
        <v>72</v>
      </c>
      <c r="C50">
        <v>20</v>
      </c>
    </row>
    <row r="51" spans="1:3" x14ac:dyDescent="0.35">
      <c r="A51" t="s">
        <v>8</v>
      </c>
      <c r="B51" t="s">
        <v>61</v>
      </c>
      <c r="C51">
        <v>54.5</v>
      </c>
    </row>
    <row r="52" spans="1:3" x14ac:dyDescent="0.35">
      <c r="A52" t="s">
        <v>8</v>
      </c>
      <c r="B52" t="s">
        <v>62</v>
      </c>
      <c r="C52">
        <v>52.5</v>
      </c>
    </row>
    <row r="53" spans="1:3" x14ac:dyDescent="0.35">
      <c r="A53" t="s">
        <v>8</v>
      </c>
      <c r="B53" t="s">
        <v>63</v>
      </c>
      <c r="C53">
        <v>51.5</v>
      </c>
    </row>
    <row r="54" spans="1:3" x14ac:dyDescent="0.35">
      <c r="A54" t="s">
        <v>8</v>
      </c>
      <c r="B54" t="s">
        <v>64</v>
      </c>
      <c r="C54">
        <v>50.5</v>
      </c>
    </row>
    <row r="55" spans="1:3" x14ac:dyDescent="0.35">
      <c r="A55" t="s">
        <v>8</v>
      </c>
      <c r="B55" t="s">
        <v>65</v>
      </c>
      <c r="C55">
        <v>49</v>
      </c>
    </row>
    <row r="56" spans="1:3" x14ac:dyDescent="0.35">
      <c r="A56" t="s">
        <v>8</v>
      </c>
      <c r="B56" t="s">
        <v>66</v>
      </c>
      <c r="C56">
        <v>47</v>
      </c>
    </row>
    <row r="57" spans="1:3" x14ac:dyDescent="0.35">
      <c r="A57" t="s">
        <v>8</v>
      </c>
      <c r="B57" t="s">
        <v>47</v>
      </c>
      <c r="C57">
        <v>325.01551244357609</v>
      </c>
    </row>
    <row r="58" spans="1:3" x14ac:dyDescent="0.35">
      <c r="A58" t="s">
        <v>9</v>
      </c>
      <c r="B58" t="s">
        <v>72</v>
      </c>
      <c r="C58">
        <v>11.6</v>
      </c>
    </row>
    <row r="59" spans="1:3" x14ac:dyDescent="0.35">
      <c r="A59" t="s">
        <v>9</v>
      </c>
      <c r="B59" t="s">
        <v>61</v>
      </c>
      <c r="C59">
        <v>31.61</v>
      </c>
    </row>
    <row r="60" spans="1:3" x14ac:dyDescent="0.35">
      <c r="A60" t="s">
        <v>9</v>
      </c>
      <c r="B60" t="s">
        <v>62</v>
      </c>
      <c r="C60">
        <v>30.45</v>
      </c>
    </row>
    <row r="61" spans="1:3" x14ac:dyDescent="0.35">
      <c r="A61" t="s">
        <v>9</v>
      </c>
      <c r="B61" t="s">
        <v>63</v>
      </c>
      <c r="C61">
        <v>29.869999999999997</v>
      </c>
    </row>
    <row r="62" spans="1:3" x14ac:dyDescent="0.35">
      <c r="A62" t="s">
        <v>9</v>
      </c>
      <c r="B62" t="s">
        <v>64</v>
      </c>
      <c r="C62">
        <v>29.29</v>
      </c>
    </row>
    <row r="63" spans="1:3" x14ac:dyDescent="0.35">
      <c r="A63" t="s">
        <v>9</v>
      </c>
      <c r="B63" t="s">
        <v>65</v>
      </c>
      <c r="C63">
        <v>28.419999999999998</v>
      </c>
    </row>
    <row r="64" spans="1:3" x14ac:dyDescent="0.35">
      <c r="A64" t="s">
        <v>9</v>
      </c>
      <c r="B64" t="s">
        <v>66</v>
      </c>
      <c r="C64">
        <v>27.259999999999998</v>
      </c>
    </row>
    <row r="65" spans="1:3" x14ac:dyDescent="0.35">
      <c r="A65" t="s">
        <v>9</v>
      </c>
      <c r="B65" t="s">
        <v>47</v>
      </c>
      <c r="C65">
        <v>186.2445707781124</v>
      </c>
    </row>
    <row r="66" spans="1:3" x14ac:dyDescent="0.35">
      <c r="A66" t="s">
        <v>10</v>
      </c>
      <c r="B66" t="s">
        <v>72</v>
      </c>
      <c r="C66">
        <v>35.6</v>
      </c>
    </row>
    <row r="67" spans="1:3" x14ac:dyDescent="0.35">
      <c r="A67" t="s">
        <v>10</v>
      </c>
      <c r="B67" t="s">
        <v>61</v>
      </c>
      <c r="C67">
        <v>97.01</v>
      </c>
    </row>
    <row r="68" spans="1:3" x14ac:dyDescent="0.35">
      <c r="A68" t="s">
        <v>10</v>
      </c>
      <c r="B68" t="s">
        <v>62</v>
      </c>
      <c r="C68">
        <v>93.45</v>
      </c>
    </row>
    <row r="69" spans="1:3" x14ac:dyDescent="0.35">
      <c r="A69" t="s">
        <v>10</v>
      </c>
      <c r="B69" t="s">
        <v>63</v>
      </c>
      <c r="C69">
        <v>91.67</v>
      </c>
    </row>
    <row r="70" spans="1:3" x14ac:dyDescent="0.35">
      <c r="A70" t="s">
        <v>10</v>
      </c>
      <c r="B70" t="s">
        <v>64</v>
      </c>
      <c r="C70">
        <v>89.89</v>
      </c>
    </row>
    <row r="71" spans="1:3" x14ac:dyDescent="0.35">
      <c r="A71" t="s">
        <v>10</v>
      </c>
      <c r="B71" t="s">
        <v>65</v>
      </c>
      <c r="C71">
        <v>87.22</v>
      </c>
    </row>
    <row r="72" spans="1:3" x14ac:dyDescent="0.35">
      <c r="A72" t="s">
        <v>10</v>
      </c>
      <c r="B72" t="s">
        <v>66</v>
      </c>
      <c r="C72">
        <v>83.66</v>
      </c>
    </row>
    <row r="73" spans="1:3" x14ac:dyDescent="0.35">
      <c r="A73" t="s">
        <v>10</v>
      </c>
      <c r="B73" t="s">
        <v>47</v>
      </c>
      <c r="C73">
        <v>348.15822384567207</v>
      </c>
    </row>
    <row r="74" spans="1:3" x14ac:dyDescent="0.35">
      <c r="A74" t="s">
        <v>11</v>
      </c>
      <c r="B74" t="s">
        <v>72</v>
      </c>
      <c r="C74">
        <v>447.6</v>
      </c>
    </row>
    <row r="75" spans="1:3" x14ac:dyDescent="0.35">
      <c r="A75" t="s">
        <v>11</v>
      </c>
      <c r="B75" t="s">
        <v>61</v>
      </c>
      <c r="C75">
        <v>1219.71</v>
      </c>
    </row>
    <row r="76" spans="1:3" x14ac:dyDescent="0.35">
      <c r="A76" t="s">
        <v>11</v>
      </c>
      <c r="B76" t="s">
        <v>62</v>
      </c>
      <c r="C76">
        <v>1174.95</v>
      </c>
    </row>
    <row r="77" spans="1:3" x14ac:dyDescent="0.35">
      <c r="A77" t="s">
        <v>11</v>
      </c>
      <c r="B77" t="s">
        <v>63</v>
      </c>
      <c r="C77">
        <v>1152.57</v>
      </c>
    </row>
    <row r="78" spans="1:3" x14ac:dyDescent="0.35">
      <c r="A78" t="s">
        <v>11</v>
      </c>
      <c r="B78" t="s">
        <v>64</v>
      </c>
      <c r="C78">
        <v>1130.19</v>
      </c>
    </row>
    <row r="79" spans="1:3" x14ac:dyDescent="0.35">
      <c r="A79" t="s">
        <v>11</v>
      </c>
      <c r="B79" t="s">
        <v>65</v>
      </c>
      <c r="C79">
        <v>1096.6199999999999</v>
      </c>
    </row>
    <row r="80" spans="1:3" x14ac:dyDescent="0.35">
      <c r="A80" t="s">
        <v>11</v>
      </c>
      <c r="B80" t="s">
        <v>66</v>
      </c>
      <c r="C80">
        <v>1051.8599999999999</v>
      </c>
    </row>
    <row r="81" spans="1:3" x14ac:dyDescent="0.35">
      <c r="A81" t="s">
        <v>11</v>
      </c>
      <c r="B81" t="s">
        <v>47</v>
      </c>
      <c r="C81">
        <v>7276.8251971291957</v>
      </c>
    </row>
    <row r="82" spans="1:3" x14ac:dyDescent="0.35">
      <c r="A82" t="s">
        <v>12</v>
      </c>
      <c r="B82" t="s">
        <v>72</v>
      </c>
      <c r="C82">
        <v>327.2</v>
      </c>
    </row>
    <row r="83" spans="1:3" x14ac:dyDescent="0.35">
      <c r="A83" t="s">
        <v>12</v>
      </c>
      <c r="B83" t="s">
        <v>61</v>
      </c>
      <c r="C83">
        <v>891.62</v>
      </c>
    </row>
    <row r="84" spans="1:3" x14ac:dyDescent="0.35">
      <c r="A84" t="s">
        <v>12</v>
      </c>
      <c r="B84" t="s">
        <v>62</v>
      </c>
      <c r="C84">
        <v>858.9</v>
      </c>
    </row>
    <row r="85" spans="1:3" x14ac:dyDescent="0.35">
      <c r="A85" t="s">
        <v>12</v>
      </c>
      <c r="B85" t="s">
        <v>63</v>
      </c>
      <c r="C85">
        <v>842.54</v>
      </c>
    </row>
    <row r="86" spans="1:3" x14ac:dyDescent="0.35">
      <c r="A86" t="s">
        <v>12</v>
      </c>
      <c r="B86" t="s">
        <v>64</v>
      </c>
      <c r="C86">
        <v>826.18</v>
      </c>
    </row>
    <row r="87" spans="1:3" x14ac:dyDescent="0.35">
      <c r="A87" t="s">
        <v>12</v>
      </c>
      <c r="B87" t="s">
        <v>65</v>
      </c>
      <c r="C87">
        <v>801.64</v>
      </c>
    </row>
    <row r="88" spans="1:3" x14ac:dyDescent="0.35">
      <c r="A88" t="s">
        <v>12</v>
      </c>
      <c r="B88" t="s">
        <v>66</v>
      </c>
      <c r="C88">
        <v>768.92</v>
      </c>
    </row>
    <row r="89" spans="1:3" x14ac:dyDescent="0.35">
      <c r="A89" t="s">
        <v>12</v>
      </c>
      <c r="B89" t="s">
        <v>47</v>
      </c>
      <c r="C89">
        <v>5318.1740786186901</v>
      </c>
    </row>
    <row r="90" spans="1:3" x14ac:dyDescent="0.35">
      <c r="A90" t="s">
        <v>13</v>
      </c>
      <c r="B90" t="s">
        <v>72</v>
      </c>
      <c r="C90">
        <v>220.79999999999998</v>
      </c>
    </row>
    <row r="91" spans="1:3" x14ac:dyDescent="0.35">
      <c r="A91" t="s">
        <v>13</v>
      </c>
      <c r="B91" t="s">
        <v>61</v>
      </c>
      <c r="C91">
        <v>601.67999999999995</v>
      </c>
    </row>
    <row r="92" spans="1:3" x14ac:dyDescent="0.35">
      <c r="A92" t="s">
        <v>13</v>
      </c>
      <c r="B92" t="s">
        <v>62</v>
      </c>
      <c r="C92">
        <v>579.6</v>
      </c>
    </row>
    <row r="93" spans="1:3" x14ac:dyDescent="0.35">
      <c r="A93" t="s">
        <v>13</v>
      </c>
      <c r="B93" t="s">
        <v>63</v>
      </c>
      <c r="C93">
        <v>568.55999999999995</v>
      </c>
    </row>
    <row r="94" spans="1:3" x14ac:dyDescent="0.35">
      <c r="A94" t="s">
        <v>13</v>
      </c>
      <c r="B94" t="s">
        <v>64</v>
      </c>
      <c r="C94">
        <v>557.52</v>
      </c>
    </row>
    <row r="95" spans="1:3" x14ac:dyDescent="0.35">
      <c r="A95" t="s">
        <v>13</v>
      </c>
      <c r="B95" t="s">
        <v>65</v>
      </c>
      <c r="C95">
        <v>540.96</v>
      </c>
    </row>
    <row r="96" spans="1:3" x14ac:dyDescent="0.35">
      <c r="A96" t="s">
        <v>13</v>
      </c>
      <c r="B96" t="s">
        <v>66</v>
      </c>
      <c r="C96">
        <v>518.88</v>
      </c>
    </row>
    <row r="97" spans="1:3" x14ac:dyDescent="0.35">
      <c r="A97" t="s">
        <v>13</v>
      </c>
      <c r="B97" t="s">
        <v>47</v>
      </c>
      <c r="C97">
        <v>3586.8436081367622</v>
      </c>
    </row>
    <row r="98" spans="1:3" x14ac:dyDescent="0.35">
      <c r="A98" t="s">
        <v>14</v>
      </c>
      <c r="B98" t="s">
        <v>72</v>
      </c>
      <c r="C98">
        <v>173.2</v>
      </c>
    </row>
    <row r="99" spans="1:3" x14ac:dyDescent="0.35">
      <c r="A99" t="s">
        <v>14</v>
      </c>
      <c r="B99" t="s">
        <v>61</v>
      </c>
      <c r="C99">
        <v>471.96999999999997</v>
      </c>
    </row>
    <row r="100" spans="1:3" x14ac:dyDescent="0.35">
      <c r="A100" t="s">
        <v>14</v>
      </c>
      <c r="B100" t="s">
        <v>62</v>
      </c>
      <c r="C100">
        <v>454.65</v>
      </c>
    </row>
    <row r="101" spans="1:3" x14ac:dyDescent="0.35">
      <c r="A101" t="s">
        <v>14</v>
      </c>
      <c r="B101" t="s">
        <v>63</v>
      </c>
      <c r="C101">
        <v>445.99</v>
      </c>
    </row>
    <row r="102" spans="1:3" x14ac:dyDescent="0.35">
      <c r="A102" t="s">
        <v>14</v>
      </c>
      <c r="B102" t="s">
        <v>64</v>
      </c>
      <c r="C102">
        <v>437.33</v>
      </c>
    </row>
    <row r="103" spans="1:3" x14ac:dyDescent="0.35">
      <c r="A103" t="s">
        <v>14</v>
      </c>
      <c r="B103" t="s">
        <v>65</v>
      </c>
      <c r="C103">
        <v>424.34</v>
      </c>
    </row>
    <row r="104" spans="1:3" x14ac:dyDescent="0.35">
      <c r="A104" t="s">
        <v>14</v>
      </c>
      <c r="B104" t="s">
        <v>66</v>
      </c>
      <c r="C104">
        <v>407.02</v>
      </c>
    </row>
    <row r="105" spans="1:3" x14ac:dyDescent="0.35">
      <c r="A105" t="s">
        <v>14</v>
      </c>
      <c r="B105" t="s">
        <v>47</v>
      </c>
      <c r="C105">
        <v>2815.9681741310483</v>
      </c>
    </row>
    <row r="106" spans="1:3" x14ac:dyDescent="0.35">
      <c r="A106" t="s">
        <v>15</v>
      </c>
      <c r="B106" t="s">
        <v>72</v>
      </c>
      <c r="C106">
        <v>40.800000000000004</v>
      </c>
    </row>
    <row r="107" spans="1:3" x14ac:dyDescent="0.35">
      <c r="A107" t="s">
        <v>15</v>
      </c>
      <c r="B107" t="s">
        <v>61</v>
      </c>
      <c r="C107">
        <v>111.18</v>
      </c>
    </row>
    <row r="108" spans="1:3" x14ac:dyDescent="0.35">
      <c r="A108" t="s">
        <v>15</v>
      </c>
      <c r="B108" t="s">
        <v>62</v>
      </c>
      <c r="C108">
        <v>107.10000000000001</v>
      </c>
    </row>
    <row r="109" spans="1:3" x14ac:dyDescent="0.35">
      <c r="A109" t="s">
        <v>15</v>
      </c>
      <c r="B109" t="s">
        <v>63</v>
      </c>
      <c r="C109">
        <v>105.06</v>
      </c>
    </row>
    <row r="110" spans="1:3" x14ac:dyDescent="0.35">
      <c r="A110" t="s">
        <v>15</v>
      </c>
      <c r="B110" t="s">
        <v>64</v>
      </c>
      <c r="C110">
        <v>103.02000000000001</v>
      </c>
    </row>
    <row r="111" spans="1:3" x14ac:dyDescent="0.35">
      <c r="A111" t="s">
        <v>15</v>
      </c>
      <c r="B111" t="s">
        <v>65</v>
      </c>
      <c r="C111">
        <v>99.960000000000008</v>
      </c>
    </row>
    <row r="112" spans="1:3" x14ac:dyDescent="0.35">
      <c r="A112" t="s">
        <v>15</v>
      </c>
      <c r="B112" t="s">
        <v>66</v>
      </c>
      <c r="C112">
        <v>95.88000000000001</v>
      </c>
    </row>
    <row r="113" spans="1:3" x14ac:dyDescent="0.35">
      <c r="A113" t="s">
        <v>15</v>
      </c>
      <c r="B113" t="s">
        <v>47</v>
      </c>
      <c r="C113">
        <v>663.44021523630329</v>
      </c>
    </row>
    <row r="114" spans="1:3" x14ac:dyDescent="0.35">
      <c r="A114" t="s">
        <v>16</v>
      </c>
      <c r="B114" t="s">
        <v>72</v>
      </c>
      <c r="C114">
        <v>432.40000000000003</v>
      </c>
    </row>
    <row r="115" spans="1:3" x14ac:dyDescent="0.35">
      <c r="A115" t="s">
        <v>16</v>
      </c>
      <c r="B115" t="s">
        <v>61</v>
      </c>
      <c r="C115">
        <v>1178.29</v>
      </c>
    </row>
    <row r="116" spans="1:3" x14ac:dyDescent="0.35">
      <c r="A116" t="s">
        <v>16</v>
      </c>
      <c r="B116" t="s">
        <v>62</v>
      </c>
      <c r="C116">
        <v>1135.05</v>
      </c>
    </row>
    <row r="117" spans="1:3" x14ac:dyDescent="0.35">
      <c r="A117" t="s">
        <v>16</v>
      </c>
      <c r="B117" t="s">
        <v>63</v>
      </c>
      <c r="C117">
        <v>1113.43</v>
      </c>
    </row>
    <row r="118" spans="1:3" x14ac:dyDescent="0.35">
      <c r="A118" t="s">
        <v>16</v>
      </c>
      <c r="B118" t="s">
        <v>64</v>
      </c>
      <c r="C118">
        <v>1091.81</v>
      </c>
    </row>
    <row r="119" spans="1:3" x14ac:dyDescent="0.35">
      <c r="A119" t="s">
        <v>16</v>
      </c>
      <c r="B119" t="s">
        <v>65</v>
      </c>
      <c r="C119">
        <v>1059.3800000000001</v>
      </c>
    </row>
    <row r="120" spans="1:3" x14ac:dyDescent="0.35">
      <c r="A120" t="s">
        <v>16</v>
      </c>
      <c r="B120" t="s">
        <v>66</v>
      </c>
      <c r="C120">
        <v>1016.14</v>
      </c>
    </row>
    <row r="121" spans="1:3" x14ac:dyDescent="0.35">
      <c r="A121" t="s">
        <v>16</v>
      </c>
      <c r="B121" t="s">
        <v>47</v>
      </c>
      <c r="C121">
        <v>7023.9709244470205</v>
      </c>
    </row>
    <row r="122" spans="1:3" x14ac:dyDescent="0.35">
      <c r="A122" t="s">
        <v>17</v>
      </c>
      <c r="B122" t="s">
        <v>72</v>
      </c>
      <c r="C122">
        <v>28.400000000000002</v>
      </c>
    </row>
    <row r="123" spans="1:3" x14ac:dyDescent="0.35">
      <c r="A123" t="s">
        <v>17</v>
      </c>
      <c r="B123" t="s">
        <v>61</v>
      </c>
      <c r="C123">
        <v>77.39</v>
      </c>
    </row>
    <row r="124" spans="1:3" x14ac:dyDescent="0.35">
      <c r="A124" t="s">
        <v>17</v>
      </c>
      <c r="B124" t="s">
        <v>62</v>
      </c>
      <c r="C124">
        <v>74.550000000000011</v>
      </c>
    </row>
    <row r="125" spans="1:3" x14ac:dyDescent="0.35">
      <c r="A125" t="s">
        <v>17</v>
      </c>
      <c r="B125" t="s">
        <v>63</v>
      </c>
      <c r="C125">
        <v>73.13000000000001</v>
      </c>
    </row>
    <row r="126" spans="1:3" x14ac:dyDescent="0.35">
      <c r="A126" t="s">
        <v>17</v>
      </c>
      <c r="B126" t="s">
        <v>64</v>
      </c>
      <c r="C126">
        <v>71.710000000000008</v>
      </c>
    </row>
    <row r="127" spans="1:3" x14ac:dyDescent="0.35">
      <c r="A127" t="s">
        <v>17</v>
      </c>
      <c r="B127" t="s">
        <v>65</v>
      </c>
      <c r="C127">
        <v>69.58</v>
      </c>
    </row>
    <row r="128" spans="1:3" x14ac:dyDescent="0.35">
      <c r="A128" t="s">
        <v>17</v>
      </c>
      <c r="B128" t="s">
        <v>66</v>
      </c>
      <c r="C128">
        <v>66.740000000000009</v>
      </c>
    </row>
    <row r="129" spans="1:3" x14ac:dyDescent="0.35">
      <c r="A129" t="s">
        <v>17</v>
      </c>
      <c r="B129" t="s">
        <v>47</v>
      </c>
      <c r="C129">
        <v>463.67652837636416</v>
      </c>
    </row>
    <row r="130" spans="1:3" x14ac:dyDescent="0.35">
      <c r="A130" t="s">
        <v>18</v>
      </c>
      <c r="B130" t="s">
        <v>72</v>
      </c>
      <c r="C130">
        <v>40.800000000000004</v>
      </c>
    </row>
    <row r="131" spans="1:3" x14ac:dyDescent="0.35">
      <c r="A131" t="s">
        <v>18</v>
      </c>
      <c r="B131" t="s">
        <v>61</v>
      </c>
      <c r="C131">
        <v>111.18</v>
      </c>
    </row>
    <row r="132" spans="1:3" x14ac:dyDescent="0.35">
      <c r="A132" t="s">
        <v>18</v>
      </c>
      <c r="B132" t="s">
        <v>62</v>
      </c>
      <c r="C132">
        <v>107.10000000000001</v>
      </c>
    </row>
    <row r="133" spans="1:3" x14ac:dyDescent="0.35">
      <c r="A133" t="s">
        <v>18</v>
      </c>
      <c r="B133" t="s">
        <v>63</v>
      </c>
      <c r="C133">
        <v>105.06</v>
      </c>
    </row>
    <row r="134" spans="1:3" x14ac:dyDescent="0.35">
      <c r="A134" t="s">
        <v>18</v>
      </c>
      <c r="B134" t="s">
        <v>64</v>
      </c>
      <c r="C134">
        <v>103.02000000000001</v>
      </c>
    </row>
    <row r="135" spans="1:3" x14ac:dyDescent="0.35">
      <c r="A135" t="s">
        <v>18</v>
      </c>
      <c r="B135" t="s">
        <v>65</v>
      </c>
      <c r="C135">
        <v>99.960000000000008</v>
      </c>
    </row>
    <row r="136" spans="1:3" x14ac:dyDescent="0.35">
      <c r="A136" t="s">
        <v>18</v>
      </c>
      <c r="B136" t="s">
        <v>66</v>
      </c>
      <c r="C136">
        <v>95.88000000000001</v>
      </c>
    </row>
    <row r="137" spans="1:3" x14ac:dyDescent="0.35">
      <c r="A137" t="s">
        <v>18</v>
      </c>
      <c r="B137" t="s">
        <v>47</v>
      </c>
      <c r="C137">
        <v>664.17136679680266</v>
      </c>
    </row>
    <row r="138" spans="1:3" x14ac:dyDescent="0.35">
      <c r="A138" t="s">
        <v>19</v>
      </c>
      <c r="B138" t="s">
        <v>72</v>
      </c>
      <c r="C138">
        <v>4</v>
      </c>
    </row>
    <row r="139" spans="1:3" x14ac:dyDescent="0.35">
      <c r="A139" t="s">
        <v>19</v>
      </c>
      <c r="B139" t="s">
        <v>61</v>
      </c>
      <c r="C139">
        <v>10.9</v>
      </c>
    </row>
    <row r="140" spans="1:3" x14ac:dyDescent="0.35">
      <c r="A140" t="s">
        <v>19</v>
      </c>
      <c r="B140" t="s">
        <v>62</v>
      </c>
      <c r="C140">
        <v>10.5</v>
      </c>
    </row>
    <row r="141" spans="1:3" x14ac:dyDescent="0.35">
      <c r="A141" t="s">
        <v>19</v>
      </c>
      <c r="B141" t="s">
        <v>63</v>
      </c>
      <c r="C141">
        <v>10.3</v>
      </c>
    </row>
    <row r="142" spans="1:3" x14ac:dyDescent="0.35">
      <c r="A142" t="s">
        <v>19</v>
      </c>
      <c r="B142" t="s">
        <v>64</v>
      </c>
      <c r="C142">
        <v>10.1</v>
      </c>
    </row>
    <row r="143" spans="1:3" x14ac:dyDescent="0.35">
      <c r="A143" t="s">
        <v>19</v>
      </c>
      <c r="B143" t="s">
        <v>65</v>
      </c>
      <c r="C143">
        <v>9.8000000000000007</v>
      </c>
    </row>
    <row r="144" spans="1:3" x14ac:dyDescent="0.35">
      <c r="A144" t="s">
        <v>19</v>
      </c>
      <c r="B144" t="s">
        <v>66</v>
      </c>
      <c r="C144">
        <v>9.4</v>
      </c>
    </row>
    <row r="145" spans="1:3" x14ac:dyDescent="0.35">
      <c r="A145" t="s">
        <v>19</v>
      </c>
      <c r="B145" t="s">
        <v>47</v>
      </c>
      <c r="C145">
        <v>66.107509578594531</v>
      </c>
    </row>
    <row r="146" spans="1:3" x14ac:dyDescent="0.35">
      <c r="A146" t="s">
        <v>20</v>
      </c>
      <c r="B146" t="s">
        <v>72</v>
      </c>
      <c r="C146">
        <v>2.8</v>
      </c>
    </row>
    <row r="147" spans="1:3" x14ac:dyDescent="0.35">
      <c r="A147" t="s">
        <v>20</v>
      </c>
      <c r="B147" t="s">
        <v>61</v>
      </c>
      <c r="C147">
        <v>7.63</v>
      </c>
    </row>
    <row r="148" spans="1:3" x14ac:dyDescent="0.35">
      <c r="A148" t="s">
        <v>20</v>
      </c>
      <c r="B148" t="s">
        <v>62</v>
      </c>
      <c r="C148">
        <v>7.35</v>
      </c>
    </row>
    <row r="149" spans="1:3" x14ac:dyDescent="0.35">
      <c r="A149" t="s">
        <v>20</v>
      </c>
      <c r="B149" t="s">
        <v>63</v>
      </c>
      <c r="C149">
        <v>7.21</v>
      </c>
    </row>
    <row r="150" spans="1:3" x14ac:dyDescent="0.35">
      <c r="A150" t="s">
        <v>20</v>
      </c>
      <c r="B150" t="s">
        <v>64</v>
      </c>
      <c r="C150">
        <v>7.07</v>
      </c>
    </row>
    <row r="151" spans="1:3" x14ac:dyDescent="0.35">
      <c r="A151" t="s">
        <v>20</v>
      </c>
      <c r="B151" t="s">
        <v>65</v>
      </c>
      <c r="C151">
        <v>6.86</v>
      </c>
    </row>
    <row r="152" spans="1:3" x14ac:dyDescent="0.35">
      <c r="A152" t="s">
        <v>20</v>
      </c>
      <c r="B152" t="s">
        <v>66</v>
      </c>
      <c r="C152">
        <v>6.58</v>
      </c>
    </row>
    <row r="153" spans="1:3" x14ac:dyDescent="0.35">
      <c r="A153" t="s">
        <v>20</v>
      </c>
      <c r="B153" t="s">
        <v>47</v>
      </c>
      <c r="C153">
        <v>45.5</v>
      </c>
    </row>
    <row r="154" spans="1:3" x14ac:dyDescent="0.35">
      <c r="A154" t="s">
        <v>21</v>
      </c>
      <c r="B154" t="s">
        <v>72</v>
      </c>
      <c r="C154">
        <v>44.4</v>
      </c>
    </row>
    <row r="155" spans="1:3" x14ac:dyDescent="0.35">
      <c r="A155" t="s">
        <v>21</v>
      </c>
      <c r="B155" t="s">
        <v>61</v>
      </c>
      <c r="C155">
        <v>120.99000000000001</v>
      </c>
    </row>
    <row r="156" spans="1:3" x14ac:dyDescent="0.35">
      <c r="A156" t="s">
        <v>21</v>
      </c>
      <c r="B156" t="s">
        <v>62</v>
      </c>
      <c r="C156">
        <v>116.55000000000001</v>
      </c>
    </row>
    <row r="157" spans="1:3" x14ac:dyDescent="0.35">
      <c r="A157" t="s">
        <v>21</v>
      </c>
      <c r="B157" t="s">
        <v>63</v>
      </c>
      <c r="C157">
        <v>114.33</v>
      </c>
    </row>
    <row r="158" spans="1:3" x14ac:dyDescent="0.35">
      <c r="A158" t="s">
        <v>21</v>
      </c>
      <c r="B158" t="s">
        <v>64</v>
      </c>
      <c r="C158">
        <v>112.11</v>
      </c>
    </row>
    <row r="159" spans="1:3" x14ac:dyDescent="0.35">
      <c r="A159" t="s">
        <v>21</v>
      </c>
      <c r="B159" t="s">
        <v>65</v>
      </c>
      <c r="C159">
        <v>108.78</v>
      </c>
    </row>
    <row r="160" spans="1:3" x14ac:dyDescent="0.35">
      <c r="A160" t="s">
        <v>21</v>
      </c>
      <c r="B160" t="s">
        <v>66</v>
      </c>
      <c r="C160">
        <v>104.34</v>
      </c>
    </row>
    <row r="161" spans="1:3" x14ac:dyDescent="0.35">
      <c r="A161" t="s">
        <v>21</v>
      </c>
      <c r="B161" t="s">
        <v>47</v>
      </c>
      <c r="C161">
        <v>720.51722497306434</v>
      </c>
    </row>
    <row r="162" spans="1:3" x14ac:dyDescent="0.35">
      <c r="A162" t="s">
        <v>22</v>
      </c>
      <c r="B162" t="s">
        <v>72</v>
      </c>
      <c r="C162">
        <v>704</v>
      </c>
    </row>
    <row r="163" spans="1:3" x14ac:dyDescent="0.35">
      <c r="A163" t="s">
        <v>22</v>
      </c>
      <c r="B163" t="s">
        <v>61</v>
      </c>
      <c r="C163">
        <v>1918.3999999999999</v>
      </c>
    </row>
    <row r="164" spans="1:3" x14ac:dyDescent="0.35">
      <c r="A164" t="s">
        <v>22</v>
      </c>
      <c r="B164" t="s">
        <v>62</v>
      </c>
      <c r="C164">
        <v>1848</v>
      </c>
    </row>
    <row r="165" spans="1:3" x14ac:dyDescent="0.35">
      <c r="A165" t="s">
        <v>22</v>
      </c>
      <c r="B165" t="s">
        <v>63</v>
      </c>
      <c r="C165">
        <v>1812.8</v>
      </c>
    </row>
    <row r="166" spans="1:3" x14ac:dyDescent="0.35">
      <c r="A166" t="s">
        <v>22</v>
      </c>
      <c r="B166" t="s">
        <v>64</v>
      </c>
      <c r="C166">
        <v>1777.6</v>
      </c>
    </row>
    <row r="167" spans="1:3" x14ac:dyDescent="0.35">
      <c r="A167" t="s">
        <v>22</v>
      </c>
      <c r="B167" t="s">
        <v>65</v>
      </c>
      <c r="C167">
        <v>1724.8</v>
      </c>
    </row>
    <row r="168" spans="1:3" x14ac:dyDescent="0.35">
      <c r="A168" t="s">
        <v>22</v>
      </c>
      <c r="B168" t="s">
        <v>66</v>
      </c>
      <c r="C168">
        <v>1654.3999999999999</v>
      </c>
    </row>
    <row r="169" spans="1:3" x14ac:dyDescent="0.35">
      <c r="A169" t="s">
        <v>22</v>
      </c>
      <c r="B169" t="s">
        <v>47</v>
      </c>
      <c r="C169">
        <v>11439.026445645028</v>
      </c>
    </row>
    <row r="170" spans="1:3" x14ac:dyDescent="0.35">
      <c r="A170" t="s">
        <v>23</v>
      </c>
      <c r="B170" t="s">
        <v>72</v>
      </c>
      <c r="C170">
        <v>75.2</v>
      </c>
    </row>
    <row r="171" spans="1:3" x14ac:dyDescent="0.35">
      <c r="A171" t="s">
        <v>23</v>
      </c>
      <c r="B171" t="s">
        <v>61</v>
      </c>
      <c r="C171">
        <v>204.92000000000002</v>
      </c>
    </row>
    <row r="172" spans="1:3" x14ac:dyDescent="0.35">
      <c r="A172" t="s">
        <v>23</v>
      </c>
      <c r="B172" t="s">
        <v>62</v>
      </c>
      <c r="C172">
        <v>197.4</v>
      </c>
    </row>
    <row r="173" spans="1:3" x14ac:dyDescent="0.35">
      <c r="A173" t="s">
        <v>23</v>
      </c>
      <c r="B173" t="s">
        <v>63</v>
      </c>
      <c r="C173">
        <v>193.64000000000001</v>
      </c>
    </row>
    <row r="174" spans="1:3" x14ac:dyDescent="0.35">
      <c r="A174" t="s">
        <v>23</v>
      </c>
      <c r="B174" t="s">
        <v>64</v>
      </c>
      <c r="C174">
        <v>189.88</v>
      </c>
    </row>
    <row r="175" spans="1:3" x14ac:dyDescent="0.35">
      <c r="A175" t="s">
        <v>23</v>
      </c>
      <c r="B175" t="s">
        <v>65</v>
      </c>
      <c r="C175">
        <v>184.24</v>
      </c>
    </row>
    <row r="176" spans="1:3" x14ac:dyDescent="0.35">
      <c r="A176" t="s">
        <v>23</v>
      </c>
      <c r="B176" t="s">
        <v>66</v>
      </c>
      <c r="C176">
        <v>176.72</v>
      </c>
    </row>
    <row r="177" spans="1:3" x14ac:dyDescent="0.35">
      <c r="A177" t="s">
        <v>23</v>
      </c>
      <c r="B177" t="s">
        <v>47</v>
      </c>
      <c r="C177">
        <v>1223.1540173381704</v>
      </c>
    </row>
    <row r="178" spans="1:3" x14ac:dyDescent="0.35">
      <c r="A178" t="s">
        <v>24</v>
      </c>
      <c r="B178" t="s">
        <v>72</v>
      </c>
      <c r="C178">
        <v>370</v>
      </c>
    </row>
    <row r="179" spans="1:3" x14ac:dyDescent="0.35">
      <c r="A179" t="s">
        <v>24</v>
      </c>
      <c r="B179" t="s">
        <v>61</v>
      </c>
      <c r="C179">
        <v>1008.25</v>
      </c>
    </row>
    <row r="180" spans="1:3" x14ac:dyDescent="0.35">
      <c r="A180" t="s">
        <v>24</v>
      </c>
      <c r="B180" t="s">
        <v>62</v>
      </c>
      <c r="C180">
        <v>971.25</v>
      </c>
    </row>
    <row r="181" spans="1:3" x14ac:dyDescent="0.35">
      <c r="A181" t="s">
        <v>24</v>
      </c>
      <c r="B181" t="s">
        <v>63</v>
      </c>
      <c r="C181">
        <v>952.75</v>
      </c>
    </row>
    <row r="182" spans="1:3" x14ac:dyDescent="0.35">
      <c r="A182" t="s">
        <v>24</v>
      </c>
      <c r="B182" t="s">
        <v>64</v>
      </c>
      <c r="C182">
        <v>934.25</v>
      </c>
    </row>
    <row r="183" spans="1:3" x14ac:dyDescent="0.35">
      <c r="A183" t="s">
        <v>24</v>
      </c>
      <c r="B183" t="s">
        <v>65</v>
      </c>
      <c r="C183">
        <v>906.5</v>
      </c>
    </row>
    <row r="184" spans="1:3" x14ac:dyDescent="0.35">
      <c r="A184" t="s">
        <v>24</v>
      </c>
      <c r="B184" t="s">
        <v>66</v>
      </c>
      <c r="C184">
        <v>869.5</v>
      </c>
    </row>
    <row r="185" spans="1:3" x14ac:dyDescent="0.35">
      <c r="A185" t="s">
        <v>24</v>
      </c>
      <c r="B185" t="s">
        <v>47</v>
      </c>
      <c r="C185">
        <v>6012.6772892979297</v>
      </c>
    </row>
    <row r="186" spans="1:3" x14ac:dyDescent="0.35">
      <c r="A186" t="s">
        <v>25</v>
      </c>
      <c r="B186" t="s">
        <v>72</v>
      </c>
      <c r="C186">
        <v>94</v>
      </c>
    </row>
    <row r="187" spans="1:3" x14ac:dyDescent="0.35">
      <c r="A187" t="s">
        <v>25</v>
      </c>
      <c r="B187" t="s">
        <v>61</v>
      </c>
      <c r="C187">
        <v>256.14999999999998</v>
      </c>
    </row>
    <row r="188" spans="1:3" x14ac:dyDescent="0.35">
      <c r="A188" t="s">
        <v>25</v>
      </c>
      <c r="B188" t="s">
        <v>62</v>
      </c>
      <c r="C188">
        <v>246.75</v>
      </c>
    </row>
    <row r="189" spans="1:3" x14ac:dyDescent="0.35">
      <c r="A189" t="s">
        <v>25</v>
      </c>
      <c r="B189" t="s">
        <v>63</v>
      </c>
      <c r="C189">
        <v>242.05</v>
      </c>
    </row>
    <row r="190" spans="1:3" x14ac:dyDescent="0.35">
      <c r="A190" t="s">
        <v>25</v>
      </c>
      <c r="B190" t="s">
        <v>64</v>
      </c>
      <c r="C190">
        <v>237.35</v>
      </c>
    </row>
    <row r="191" spans="1:3" x14ac:dyDescent="0.35">
      <c r="A191" t="s">
        <v>25</v>
      </c>
      <c r="B191" t="s">
        <v>65</v>
      </c>
      <c r="C191">
        <v>230.3</v>
      </c>
    </row>
    <row r="192" spans="1:3" x14ac:dyDescent="0.35">
      <c r="A192" t="s">
        <v>25</v>
      </c>
      <c r="B192" t="s">
        <v>66</v>
      </c>
      <c r="C192">
        <v>220.9</v>
      </c>
    </row>
    <row r="193" spans="1:3" x14ac:dyDescent="0.35">
      <c r="A193" t="s">
        <v>25</v>
      </c>
      <c r="B193" t="s">
        <v>47</v>
      </c>
      <c r="C193">
        <v>1530.5530743711365</v>
      </c>
    </row>
    <row r="194" spans="1:3" x14ac:dyDescent="0.35">
      <c r="A194" t="s">
        <v>26</v>
      </c>
      <c r="B194" t="s">
        <v>72</v>
      </c>
      <c r="C194">
        <v>22</v>
      </c>
    </row>
    <row r="195" spans="1:3" x14ac:dyDescent="0.35">
      <c r="A195" t="s">
        <v>26</v>
      </c>
      <c r="B195" t="s">
        <v>61</v>
      </c>
      <c r="C195">
        <v>59.949999999999996</v>
      </c>
    </row>
    <row r="196" spans="1:3" x14ac:dyDescent="0.35">
      <c r="A196" t="s">
        <v>26</v>
      </c>
      <c r="B196" t="s">
        <v>62</v>
      </c>
      <c r="C196">
        <v>57.75</v>
      </c>
    </row>
    <row r="197" spans="1:3" x14ac:dyDescent="0.35">
      <c r="A197" t="s">
        <v>26</v>
      </c>
      <c r="B197" t="s">
        <v>63</v>
      </c>
      <c r="C197">
        <v>56.65</v>
      </c>
    </row>
    <row r="198" spans="1:3" x14ac:dyDescent="0.35">
      <c r="A198" t="s">
        <v>26</v>
      </c>
      <c r="B198" t="s">
        <v>64</v>
      </c>
      <c r="C198">
        <v>55.55</v>
      </c>
    </row>
    <row r="199" spans="1:3" x14ac:dyDescent="0.35">
      <c r="A199" t="s">
        <v>26</v>
      </c>
      <c r="B199" t="s">
        <v>65</v>
      </c>
      <c r="C199">
        <v>53.9</v>
      </c>
    </row>
    <row r="200" spans="1:3" x14ac:dyDescent="0.35">
      <c r="A200" t="s">
        <v>26</v>
      </c>
      <c r="B200" t="s">
        <v>66</v>
      </c>
      <c r="C200">
        <v>51.699999999999996</v>
      </c>
    </row>
    <row r="201" spans="1:3" x14ac:dyDescent="0.35">
      <c r="A201" t="s">
        <v>26</v>
      </c>
      <c r="B201" t="s">
        <v>47</v>
      </c>
      <c r="C201">
        <v>357.74648753348293</v>
      </c>
    </row>
    <row r="202" spans="1:3" x14ac:dyDescent="0.35">
      <c r="A202" t="s">
        <v>27</v>
      </c>
      <c r="B202" t="s">
        <v>72</v>
      </c>
      <c r="C202">
        <v>420.8</v>
      </c>
    </row>
    <row r="203" spans="1:3" x14ac:dyDescent="0.35">
      <c r="A203" t="s">
        <v>27</v>
      </c>
      <c r="B203" t="s">
        <v>61</v>
      </c>
      <c r="C203">
        <v>1146.68</v>
      </c>
    </row>
    <row r="204" spans="1:3" x14ac:dyDescent="0.35">
      <c r="A204" t="s">
        <v>27</v>
      </c>
      <c r="B204" t="s">
        <v>62</v>
      </c>
      <c r="C204">
        <v>1104.5999999999999</v>
      </c>
    </row>
    <row r="205" spans="1:3" x14ac:dyDescent="0.35">
      <c r="A205" t="s">
        <v>27</v>
      </c>
      <c r="B205" t="s">
        <v>63</v>
      </c>
      <c r="C205">
        <v>1083.56</v>
      </c>
    </row>
    <row r="206" spans="1:3" x14ac:dyDescent="0.35">
      <c r="A206" t="s">
        <v>27</v>
      </c>
      <c r="B206" t="s">
        <v>64</v>
      </c>
      <c r="C206">
        <v>1062.52</v>
      </c>
    </row>
    <row r="207" spans="1:3" x14ac:dyDescent="0.35">
      <c r="A207" t="s">
        <v>27</v>
      </c>
      <c r="B207" t="s">
        <v>65</v>
      </c>
      <c r="C207">
        <v>1030.96</v>
      </c>
    </row>
    <row r="208" spans="1:3" x14ac:dyDescent="0.35">
      <c r="A208" t="s">
        <v>27</v>
      </c>
      <c r="B208" t="s">
        <v>66</v>
      </c>
      <c r="C208">
        <v>988.88</v>
      </c>
    </row>
    <row r="209" spans="1:3" x14ac:dyDescent="0.35">
      <c r="A209" t="s">
        <v>27</v>
      </c>
      <c r="B209" t="s">
        <v>47</v>
      </c>
      <c r="C209">
        <v>6837.7846306189786</v>
      </c>
    </row>
    <row r="210" spans="1:3" x14ac:dyDescent="0.35">
      <c r="A210" t="s">
        <v>28</v>
      </c>
      <c r="B210" t="s">
        <v>72</v>
      </c>
      <c r="C210">
        <v>24.8</v>
      </c>
    </row>
    <row r="211" spans="1:3" x14ac:dyDescent="0.35">
      <c r="A211" t="s">
        <v>28</v>
      </c>
      <c r="B211" t="s">
        <v>61</v>
      </c>
      <c r="C211">
        <v>67.58</v>
      </c>
    </row>
    <row r="212" spans="1:3" x14ac:dyDescent="0.35">
      <c r="A212" t="s">
        <v>28</v>
      </c>
      <c r="B212" t="s">
        <v>62</v>
      </c>
      <c r="C212">
        <v>65.099999999999994</v>
      </c>
    </row>
    <row r="213" spans="1:3" x14ac:dyDescent="0.35">
      <c r="A213" t="s">
        <v>28</v>
      </c>
      <c r="B213" t="s">
        <v>63</v>
      </c>
      <c r="C213">
        <v>63.86</v>
      </c>
    </row>
    <row r="214" spans="1:3" x14ac:dyDescent="0.35">
      <c r="A214" t="s">
        <v>28</v>
      </c>
      <c r="B214" t="s">
        <v>64</v>
      </c>
      <c r="C214">
        <v>62.62</v>
      </c>
    </row>
    <row r="215" spans="1:3" x14ac:dyDescent="0.35">
      <c r="A215" t="s">
        <v>28</v>
      </c>
      <c r="B215" t="s">
        <v>65</v>
      </c>
      <c r="C215">
        <v>60.76</v>
      </c>
    </row>
    <row r="216" spans="1:3" x14ac:dyDescent="0.35">
      <c r="A216" t="s">
        <v>28</v>
      </c>
      <c r="B216" t="s">
        <v>66</v>
      </c>
      <c r="C216">
        <v>58.28</v>
      </c>
    </row>
    <row r="217" spans="1:3" x14ac:dyDescent="0.35">
      <c r="A217" t="s">
        <v>28</v>
      </c>
      <c r="B217" t="s">
        <v>47</v>
      </c>
      <c r="C217">
        <v>400.41623104038547</v>
      </c>
    </row>
    <row r="218" spans="1:3" x14ac:dyDescent="0.35">
      <c r="A218" t="s">
        <v>29</v>
      </c>
      <c r="B218" t="s">
        <v>72</v>
      </c>
      <c r="C218">
        <v>4013.6000000000008</v>
      </c>
    </row>
    <row r="219" spans="1:3" x14ac:dyDescent="0.35">
      <c r="A219" t="s">
        <v>29</v>
      </c>
      <c r="B219" t="s">
        <v>61</v>
      </c>
      <c r="C219">
        <v>10937.060000000001</v>
      </c>
    </row>
    <row r="220" spans="1:3" x14ac:dyDescent="0.35">
      <c r="A220" t="s">
        <v>29</v>
      </c>
      <c r="B220" t="s">
        <v>62</v>
      </c>
      <c r="C220">
        <v>10535.7</v>
      </c>
    </row>
    <row r="221" spans="1:3" x14ac:dyDescent="0.35">
      <c r="A221" t="s">
        <v>29</v>
      </c>
      <c r="B221" t="s">
        <v>63</v>
      </c>
      <c r="C221">
        <v>10335.02</v>
      </c>
    </row>
    <row r="222" spans="1:3" x14ac:dyDescent="0.35">
      <c r="A222" t="s">
        <v>29</v>
      </c>
      <c r="B222" t="s">
        <v>64</v>
      </c>
      <c r="C222">
        <v>10134.340000000004</v>
      </c>
    </row>
    <row r="223" spans="1:3" x14ac:dyDescent="0.35">
      <c r="A223" t="s">
        <v>29</v>
      </c>
      <c r="B223" t="s">
        <v>65</v>
      </c>
      <c r="C223">
        <v>9833.3199999999979</v>
      </c>
    </row>
    <row r="224" spans="1:3" x14ac:dyDescent="0.35">
      <c r="A224" t="s">
        <v>29</v>
      </c>
      <c r="B224" t="s">
        <v>66</v>
      </c>
      <c r="C224">
        <v>9431.9600000000009</v>
      </c>
    </row>
    <row r="225" spans="1:4" x14ac:dyDescent="0.35">
      <c r="A225" t="s">
        <v>29</v>
      </c>
      <c r="B225" t="s">
        <v>47</v>
      </c>
      <c r="C225">
        <v>64999.999999999993</v>
      </c>
    </row>
    <row r="226" spans="1:4" x14ac:dyDescent="0.35">
      <c r="A226" t="s">
        <v>2</v>
      </c>
      <c r="B226" t="s">
        <v>61</v>
      </c>
      <c r="D226">
        <v>305.07549180469454</v>
      </c>
    </row>
    <row r="227" spans="1:4" x14ac:dyDescent="0.35">
      <c r="A227" t="s">
        <v>2</v>
      </c>
      <c r="B227" t="s">
        <v>62</v>
      </c>
      <c r="D227">
        <v>1027.1228375189439</v>
      </c>
    </row>
    <row r="228" spans="1:4" x14ac:dyDescent="0.35">
      <c r="A228" t="s">
        <v>2</v>
      </c>
      <c r="B228" t="s">
        <v>63</v>
      </c>
      <c r="D228">
        <v>1373.5154438883103</v>
      </c>
    </row>
    <row r="229" spans="1:4" x14ac:dyDescent="0.35">
      <c r="A229" t="s">
        <v>2</v>
      </c>
      <c r="B229" t="s">
        <v>64</v>
      </c>
      <c r="D229">
        <v>1343.3971553154079</v>
      </c>
    </row>
    <row r="230" spans="1:4" x14ac:dyDescent="0.35">
      <c r="A230" t="s">
        <v>2</v>
      </c>
      <c r="B230" t="s">
        <v>65</v>
      </c>
      <c r="D230">
        <v>1476.2509926100879</v>
      </c>
    </row>
    <row r="231" spans="1:4" x14ac:dyDescent="0.35">
      <c r="A231" t="s">
        <v>2</v>
      </c>
      <c r="B231" t="s">
        <v>66</v>
      </c>
      <c r="D231">
        <v>1076.9438048331288</v>
      </c>
    </row>
    <row r="232" spans="1:4" x14ac:dyDescent="0.35">
      <c r="A232" t="s">
        <v>2</v>
      </c>
      <c r="B232" t="s">
        <v>47</v>
      </c>
      <c r="D232">
        <v>6602.3057259705729</v>
      </c>
    </row>
    <row r="233" spans="1:4" x14ac:dyDescent="0.35">
      <c r="A233" t="s">
        <v>3</v>
      </c>
      <c r="B233" t="s">
        <v>61</v>
      </c>
      <c r="D233">
        <v>438.33750907991919</v>
      </c>
    </row>
    <row r="234" spans="1:4" x14ac:dyDescent="0.35">
      <c r="A234" t="s">
        <v>3</v>
      </c>
      <c r="B234" t="s">
        <v>62</v>
      </c>
      <c r="D234">
        <v>1475.787069796422</v>
      </c>
    </row>
    <row r="235" spans="1:4" x14ac:dyDescent="0.35">
      <c r="A235" t="s">
        <v>3</v>
      </c>
      <c r="B235" t="s">
        <v>63</v>
      </c>
      <c r="D235">
        <v>1973.489691994776</v>
      </c>
    </row>
    <row r="236" spans="1:4" x14ac:dyDescent="0.35">
      <c r="A236" t="s">
        <v>3</v>
      </c>
      <c r="B236" t="s">
        <v>64</v>
      </c>
      <c r="D236">
        <v>1930.2152371616494</v>
      </c>
    </row>
    <row r="237" spans="1:4" x14ac:dyDescent="0.35">
      <c r="A237" t="s">
        <v>3</v>
      </c>
      <c r="B237" t="s">
        <v>65</v>
      </c>
      <c r="D237">
        <v>2121.1018264676827</v>
      </c>
    </row>
    <row r="238" spans="1:4" x14ac:dyDescent="0.35">
      <c r="A238" t="s">
        <v>3</v>
      </c>
      <c r="B238" t="s">
        <v>66</v>
      </c>
      <c r="D238">
        <v>1547.3706591016962</v>
      </c>
    </row>
    <row r="239" spans="1:4" x14ac:dyDescent="0.35">
      <c r="A239" t="s">
        <v>3</v>
      </c>
      <c r="B239" t="s">
        <v>47</v>
      </c>
      <c r="D239">
        <v>9486.3019936021446</v>
      </c>
    </row>
    <row r="240" spans="1:4" x14ac:dyDescent="0.35">
      <c r="A240" t="s">
        <v>4</v>
      </c>
      <c r="B240" t="s">
        <v>61</v>
      </c>
      <c r="D240">
        <v>103.58441086968466</v>
      </c>
    </row>
    <row r="241" spans="1:4" x14ac:dyDescent="0.35">
      <c r="A241" t="s">
        <v>4</v>
      </c>
      <c r="B241" t="s">
        <v>62</v>
      </c>
      <c r="D241">
        <v>348.74618536486929</v>
      </c>
    </row>
    <row r="242" spans="1:4" x14ac:dyDescent="0.35">
      <c r="A242" t="s">
        <v>4</v>
      </c>
      <c r="B242" t="s">
        <v>63</v>
      </c>
      <c r="D242">
        <v>466.35928449692233</v>
      </c>
    </row>
    <row r="243" spans="1:4" x14ac:dyDescent="0.35">
      <c r="A243" t="s">
        <v>4</v>
      </c>
      <c r="B243" t="s">
        <v>64</v>
      </c>
      <c r="D243">
        <v>456.13301178071055</v>
      </c>
    </row>
    <row r="244" spans="1:4" x14ac:dyDescent="0.35">
      <c r="A244" t="s">
        <v>4</v>
      </c>
      <c r="B244" t="s">
        <v>65</v>
      </c>
      <c r="D244">
        <v>501.24180235100113</v>
      </c>
    </row>
    <row r="245" spans="1:4" x14ac:dyDescent="0.35">
      <c r="A245" t="s">
        <v>4</v>
      </c>
      <c r="B245" t="s">
        <v>66</v>
      </c>
      <c r="D245">
        <v>365.66224610009687</v>
      </c>
    </row>
    <row r="246" spans="1:4" x14ac:dyDescent="0.35">
      <c r="A246" t="s">
        <v>4</v>
      </c>
      <c r="B246" t="s">
        <v>47</v>
      </c>
      <c r="D246">
        <v>2241.726940963285</v>
      </c>
    </row>
    <row r="247" spans="1:4" x14ac:dyDescent="0.35">
      <c r="A247" t="s">
        <v>5</v>
      </c>
      <c r="B247" t="s">
        <v>61</v>
      </c>
      <c r="D247">
        <v>77.466581052394261</v>
      </c>
    </row>
    <row r="248" spans="1:4" x14ac:dyDescent="0.35">
      <c r="A248" t="s">
        <v>5</v>
      </c>
      <c r="B248" t="s">
        <v>62</v>
      </c>
      <c r="D248">
        <v>260.81313209638188</v>
      </c>
    </row>
    <row r="249" spans="1:4" x14ac:dyDescent="0.35">
      <c r="A249" t="s">
        <v>5</v>
      </c>
      <c r="B249" t="s">
        <v>63</v>
      </c>
      <c r="D249">
        <v>348.77120030607375</v>
      </c>
    </row>
    <row r="250" spans="1:4" x14ac:dyDescent="0.35">
      <c r="A250" t="s">
        <v>5</v>
      </c>
      <c r="B250" t="s">
        <v>64</v>
      </c>
      <c r="D250">
        <v>341.1233855665476</v>
      </c>
    </row>
    <row r="251" spans="1:4" x14ac:dyDescent="0.35">
      <c r="A251" t="s">
        <v>5</v>
      </c>
      <c r="B251" t="s">
        <v>65</v>
      </c>
      <c r="D251">
        <v>374.85842109506052</v>
      </c>
    </row>
    <row r="252" spans="1:4" x14ac:dyDescent="0.35">
      <c r="A252" t="s">
        <v>5</v>
      </c>
      <c r="B252" t="s">
        <v>66</v>
      </c>
      <c r="D252">
        <v>273.46396805741591</v>
      </c>
    </row>
    <row r="253" spans="1:4" x14ac:dyDescent="0.35">
      <c r="A253" t="s">
        <v>5</v>
      </c>
      <c r="B253" t="s">
        <v>47</v>
      </c>
      <c r="D253">
        <v>1676.496688173874</v>
      </c>
    </row>
    <row r="254" spans="1:4" x14ac:dyDescent="0.35">
      <c r="A254" t="s">
        <v>6</v>
      </c>
      <c r="B254" t="s">
        <v>61</v>
      </c>
      <c r="D254">
        <v>21.911114280700581</v>
      </c>
    </row>
    <row r="255" spans="1:4" x14ac:dyDescent="0.35">
      <c r="A255" t="s">
        <v>6</v>
      </c>
      <c r="B255" t="s">
        <v>62</v>
      </c>
      <c r="D255">
        <v>73.769956872191855</v>
      </c>
    </row>
    <row r="256" spans="1:4" x14ac:dyDescent="0.35">
      <c r="A256" t="s">
        <v>6</v>
      </c>
      <c r="B256" t="s">
        <v>63</v>
      </c>
      <c r="D256">
        <v>98.648546559126927</v>
      </c>
    </row>
    <row r="257" spans="1:4" x14ac:dyDescent="0.35">
      <c r="A257" t="s">
        <v>6</v>
      </c>
      <c r="B257" t="s">
        <v>64</v>
      </c>
      <c r="D257">
        <v>96.485392583839868</v>
      </c>
    </row>
    <row r="258" spans="1:4" x14ac:dyDescent="0.35">
      <c r="A258" t="s">
        <v>6</v>
      </c>
      <c r="B258" t="s">
        <v>65</v>
      </c>
      <c r="D258">
        <v>106.02721318166391</v>
      </c>
    </row>
    <row r="259" spans="1:4" x14ac:dyDescent="0.35">
      <c r="A259" t="s">
        <v>6</v>
      </c>
      <c r="B259" t="s">
        <v>66</v>
      </c>
      <c r="D259">
        <v>77.348195497453176</v>
      </c>
    </row>
    <row r="260" spans="1:4" x14ac:dyDescent="0.35">
      <c r="A260" t="s">
        <v>6</v>
      </c>
      <c r="B260" t="s">
        <v>47</v>
      </c>
      <c r="D260">
        <v>474.1904189749763</v>
      </c>
    </row>
    <row r="261" spans="1:4" x14ac:dyDescent="0.35">
      <c r="A261" t="s">
        <v>7</v>
      </c>
      <c r="B261" t="s">
        <v>61</v>
      </c>
      <c r="D261">
        <v>289.32571488166718</v>
      </c>
    </row>
    <row r="262" spans="1:4" x14ac:dyDescent="0.35">
      <c r="A262" t="s">
        <v>7</v>
      </c>
      <c r="B262" t="s">
        <v>62</v>
      </c>
      <c r="D262">
        <v>974.09676365186817</v>
      </c>
    </row>
    <row r="263" spans="1:4" x14ac:dyDescent="0.35">
      <c r="A263" t="s">
        <v>7</v>
      </c>
      <c r="B263" t="s">
        <v>63</v>
      </c>
      <c r="D263">
        <v>1302.6065625697722</v>
      </c>
    </row>
    <row r="264" spans="1:4" x14ac:dyDescent="0.35">
      <c r="A264" t="s">
        <v>7</v>
      </c>
      <c r="B264" t="s">
        <v>64</v>
      </c>
      <c r="D264">
        <v>1274.0431557853756</v>
      </c>
    </row>
    <row r="265" spans="1:4" x14ac:dyDescent="0.35">
      <c r="A265" t="s">
        <v>7</v>
      </c>
      <c r="B265" t="s">
        <v>65</v>
      </c>
      <c r="D265">
        <v>1400.0383028313518</v>
      </c>
    </row>
    <row r="266" spans="1:4" x14ac:dyDescent="0.35">
      <c r="A266" t="s">
        <v>7</v>
      </c>
      <c r="B266" t="s">
        <v>66</v>
      </c>
      <c r="D266">
        <v>1021.3456819409212</v>
      </c>
    </row>
    <row r="267" spans="1:4" x14ac:dyDescent="0.35">
      <c r="A267" t="s">
        <v>7</v>
      </c>
      <c r="B267" t="s">
        <v>47</v>
      </c>
      <c r="D267">
        <v>6261.4561816609557</v>
      </c>
    </row>
    <row r="268" spans="1:4" x14ac:dyDescent="0.35">
      <c r="A268" t="s">
        <v>8</v>
      </c>
      <c r="B268" t="s">
        <v>61</v>
      </c>
      <c r="D268">
        <v>136.17826139736977</v>
      </c>
    </row>
    <row r="269" spans="1:4" x14ac:dyDescent="0.35">
      <c r="A269" t="s">
        <v>8</v>
      </c>
      <c r="B269" t="s">
        <v>62</v>
      </c>
      <c r="D269">
        <v>458.48259205432038</v>
      </c>
    </row>
    <row r="270" spans="1:4" x14ac:dyDescent="0.35">
      <c r="A270" t="s">
        <v>8</v>
      </c>
      <c r="B270" t="s">
        <v>63</v>
      </c>
      <c r="D270">
        <v>613.10380602742487</v>
      </c>
    </row>
    <row r="271" spans="1:4" x14ac:dyDescent="0.35">
      <c r="A271" t="s">
        <v>8</v>
      </c>
      <c r="B271" t="s">
        <v>64</v>
      </c>
      <c r="D271">
        <v>599.65973633221711</v>
      </c>
    </row>
    <row r="272" spans="1:4" x14ac:dyDescent="0.35">
      <c r="A272" t="s">
        <v>8</v>
      </c>
      <c r="B272" t="s">
        <v>65</v>
      </c>
      <c r="D272">
        <v>658.96245014818203</v>
      </c>
    </row>
    <row r="273" spans="1:4" x14ac:dyDescent="0.35">
      <c r="A273" t="s">
        <v>8</v>
      </c>
      <c r="B273" t="s">
        <v>66</v>
      </c>
      <c r="D273">
        <v>480.72145716225316</v>
      </c>
    </row>
    <row r="274" spans="1:4" x14ac:dyDescent="0.35">
      <c r="A274" t="s">
        <v>8</v>
      </c>
      <c r="B274" t="s">
        <v>47</v>
      </c>
      <c r="D274">
        <v>2947.1083031217672</v>
      </c>
    </row>
    <row r="275" spans="1:4" x14ac:dyDescent="0.35">
      <c r="A275" t="s">
        <v>9</v>
      </c>
      <c r="B275" t="s">
        <v>61</v>
      </c>
      <c r="D275">
        <v>29.374734411406578</v>
      </c>
    </row>
    <row r="276" spans="1:4" x14ac:dyDescent="0.35">
      <c r="A276" t="s">
        <v>9</v>
      </c>
      <c r="B276" t="s">
        <v>62</v>
      </c>
      <c r="D276">
        <v>98.898342772564249</v>
      </c>
    </row>
    <row r="277" spans="1:4" x14ac:dyDescent="0.35">
      <c r="A277" t="s">
        <v>9</v>
      </c>
      <c r="B277" t="s">
        <v>63</v>
      </c>
      <c r="D277">
        <v>132.25136878584055</v>
      </c>
    </row>
    <row r="278" spans="1:4" x14ac:dyDescent="0.35">
      <c r="A278" t="s">
        <v>9</v>
      </c>
      <c r="B278" t="s">
        <v>64</v>
      </c>
      <c r="D278">
        <v>129.35137599218314</v>
      </c>
    </row>
    <row r="279" spans="1:4" x14ac:dyDescent="0.35">
      <c r="A279" t="s">
        <v>9</v>
      </c>
      <c r="B279" t="s">
        <v>65</v>
      </c>
      <c r="D279">
        <v>142.14344317195452</v>
      </c>
    </row>
    <row r="280" spans="1:4" x14ac:dyDescent="0.35">
      <c r="A280" t="s">
        <v>9</v>
      </c>
      <c r="B280" t="s">
        <v>66</v>
      </c>
      <c r="D280">
        <v>103.69544290773487</v>
      </c>
    </row>
    <row r="281" spans="1:4" x14ac:dyDescent="0.35">
      <c r="A281" t="s">
        <v>9</v>
      </c>
      <c r="B281" t="s">
        <v>47</v>
      </c>
      <c r="D281">
        <v>635.71470804168393</v>
      </c>
    </row>
    <row r="282" spans="1:4" x14ac:dyDescent="0.35">
      <c r="A282" t="s">
        <v>10</v>
      </c>
      <c r="B282" t="s">
        <v>61</v>
      </c>
      <c r="D282">
        <v>134.10993511606782</v>
      </c>
    </row>
    <row r="283" spans="1:4" x14ac:dyDescent="0.35">
      <c r="A283" t="s">
        <v>10</v>
      </c>
      <c r="B283" t="s">
        <v>62</v>
      </c>
      <c r="D283">
        <v>451.51898725473882</v>
      </c>
    </row>
    <row r="284" spans="1:4" x14ac:dyDescent="0.35">
      <c r="A284" t="s">
        <v>10</v>
      </c>
      <c r="B284" t="s">
        <v>63</v>
      </c>
      <c r="D284">
        <v>603.79175649646152</v>
      </c>
    </row>
    <row r="285" spans="1:4" x14ac:dyDescent="0.35">
      <c r="A285" t="s">
        <v>10</v>
      </c>
      <c r="B285" t="s">
        <v>64</v>
      </c>
      <c r="D285">
        <v>590.5518803516261</v>
      </c>
    </row>
    <row r="286" spans="1:4" x14ac:dyDescent="0.35">
      <c r="A286" t="s">
        <v>10</v>
      </c>
      <c r="B286" t="s">
        <v>65</v>
      </c>
      <c r="D286">
        <v>648.95388240728903</v>
      </c>
    </row>
    <row r="287" spans="1:4" x14ac:dyDescent="0.35">
      <c r="A287" t="s">
        <v>10</v>
      </c>
      <c r="B287" t="s">
        <v>66</v>
      </c>
      <c r="D287">
        <v>473.42008017570816</v>
      </c>
    </row>
    <row r="288" spans="1:4" x14ac:dyDescent="0.35">
      <c r="A288" t="s">
        <v>10</v>
      </c>
      <c r="B288" t="s">
        <v>47</v>
      </c>
      <c r="D288">
        <v>2902.3465218018914</v>
      </c>
    </row>
    <row r="289" spans="1:4" x14ac:dyDescent="0.35">
      <c r="A289" t="s">
        <v>11</v>
      </c>
      <c r="B289" t="s">
        <v>61</v>
      </c>
      <c r="D289">
        <v>1782.0822749762519</v>
      </c>
    </row>
    <row r="290" spans="1:4" x14ac:dyDescent="0.35">
      <c r="A290" t="s">
        <v>11</v>
      </c>
      <c r="B290" t="s">
        <v>62</v>
      </c>
      <c r="D290">
        <v>5999.8834784723813</v>
      </c>
    </row>
    <row r="291" spans="1:4" x14ac:dyDescent="0.35">
      <c r="A291" t="s">
        <v>11</v>
      </c>
      <c r="B291" t="s">
        <v>63</v>
      </c>
      <c r="D291">
        <v>8023.3174827642151</v>
      </c>
    </row>
    <row r="292" spans="1:4" x14ac:dyDescent="0.35">
      <c r="A292" t="s">
        <v>11</v>
      </c>
      <c r="B292" t="s">
        <v>64</v>
      </c>
      <c r="D292">
        <v>7847.3831004220574</v>
      </c>
    </row>
    <row r="293" spans="1:4" x14ac:dyDescent="0.35">
      <c r="A293" t="s">
        <v>11</v>
      </c>
      <c r="B293" t="s">
        <v>65</v>
      </c>
      <c r="D293">
        <v>8623.4417316968265</v>
      </c>
    </row>
    <row r="294" spans="1:4" x14ac:dyDescent="0.35">
      <c r="A294" t="s">
        <v>11</v>
      </c>
      <c r="B294" t="s">
        <v>66</v>
      </c>
      <c r="D294">
        <v>6290.9100117660455</v>
      </c>
    </row>
    <row r="295" spans="1:4" x14ac:dyDescent="0.35">
      <c r="A295" t="s">
        <v>11</v>
      </c>
      <c r="B295" t="s">
        <v>47</v>
      </c>
      <c r="D295">
        <v>38567.018080097783</v>
      </c>
    </row>
    <row r="296" spans="1:4" x14ac:dyDescent="0.35">
      <c r="A296" t="s">
        <v>12</v>
      </c>
      <c r="B296" t="s">
        <v>61</v>
      </c>
      <c r="D296">
        <v>2709.2783467831937</v>
      </c>
    </row>
    <row r="297" spans="1:4" x14ac:dyDescent="0.35">
      <c r="A297" t="s">
        <v>12</v>
      </c>
      <c r="B297" t="s">
        <v>62</v>
      </c>
      <c r="D297">
        <v>9121.5510191099729</v>
      </c>
    </row>
    <row r="298" spans="1:4" x14ac:dyDescent="0.35">
      <c r="A298" t="s">
        <v>12</v>
      </c>
      <c r="B298" t="s">
        <v>63</v>
      </c>
      <c r="D298">
        <v>12197.753510403891</v>
      </c>
    </row>
    <row r="299" spans="1:4" x14ac:dyDescent="0.35">
      <c r="A299" t="s">
        <v>12</v>
      </c>
      <c r="B299" t="s">
        <v>64</v>
      </c>
      <c r="D299">
        <v>11930.282575291965</v>
      </c>
    </row>
    <row r="300" spans="1:4" x14ac:dyDescent="0.35">
      <c r="A300" t="s">
        <v>12</v>
      </c>
      <c r="B300" t="s">
        <v>65</v>
      </c>
      <c r="D300">
        <v>13110.115221107913</v>
      </c>
    </row>
    <row r="301" spans="1:4" x14ac:dyDescent="0.35">
      <c r="A301" t="s">
        <v>12</v>
      </c>
      <c r="B301" t="s">
        <v>66</v>
      </c>
      <c r="D301">
        <v>9563.9951733802409</v>
      </c>
    </row>
    <row r="302" spans="1:4" x14ac:dyDescent="0.35">
      <c r="A302" t="s">
        <v>12</v>
      </c>
      <c r="B302" t="s">
        <v>47</v>
      </c>
      <c r="D302">
        <v>58632.975846077185</v>
      </c>
    </row>
    <row r="303" spans="1:4" x14ac:dyDescent="0.35">
      <c r="A303" t="s">
        <v>13</v>
      </c>
      <c r="B303" t="s">
        <v>61</v>
      </c>
      <c r="D303">
        <v>184.89695270697058</v>
      </c>
    </row>
    <row r="304" spans="1:4" x14ac:dyDescent="0.35">
      <c r="A304" t="s">
        <v>13</v>
      </c>
      <c r="B304" t="s">
        <v>62</v>
      </c>
      <c r="D304">
        <v>622.50783106028337</v>
      </c>
    </row>
    <row r="305" spans="1:4" x14ac:dyDescent="0.35">
      <c r="A305" t="s">
        <v>13</v>
      </c>
      <c r="B305" t="s">
        <v>63</v>
      </c>
      <c r="D305">
        <v>832.4458269938375</v>
      </c>
    </row>
    <row r="306" spans="1:4" x14ac:dyDescent="0.35">
      <c r="A306" t="s">
        <v>13</v>
      </c>
      <c r="B306" t="s">
        <v>64</v>
      </c>
      <c r="D306">
        <v>814.19205070739667</v>
      </c>
    </row>
    <row r="307" spans="1:4" x14ac:dyDescent="0.35">
      <c r="A307" t="s">
        <v>13</v>
      </c>
      <c r="B307" t="s">
        <v>65</v>
      </c>
      <c r="D307">
        <v>894.71071028867743</v>
      </c>
    </row>
    <row r="308" spans="1:4" x14ac:dyDescent="0.35">
      <c r="A308" t="s">
        <v>13</v>
      </c>
      <c r="B308" t="s">
        <v>66</v>
      </c>
      <c r="D308">
        <v>652.70280012454225</v>
      </c>
    </row>
    <row r="309" spans="1:4" x14ac:dyDescent="0.35">
      <c r="A309" t="s">
        <v>13</v>
      </c>
      <c r="B309" t="s">
        <v>47</v>
      </c>
      <c r="D309">
        <v>4001.4561718817081</v>
      </c>
    </row>
    <row r="310" spans="1:4" x14ac:dyDescent="0.35">
      <c r="A310" t="s">
        <v>14</v>
      </c>
      <c r="B310" t="s">
        <v>61</v>
      </c>
      <c r="D310">
        <v>210.29763367408432</v>
      </c>
    </row>
    <row r="311" spans="1:4" x14ac:dyDescent="0.35">
      <c r="A311" t="s">
        <v>14</v>
      </c>
      <c r="B311" t="s">
        <v>62</v>
      </c>
      <c r="D311">
        <v>708.02640010534299</v>
      </c>
    </row>
    <row r="312" spans="1:4" x14ac:dyDescent="0.35">
      <c r="A312" t="s">
        <v>14</v>
      </c>
      <c r="B312" t="s">
        <v>63</v>
      </c>
      <c r="D312">
        <v>946.80515290109713</v>
      </c>
    </row>
    <row r="313" spans="1:4" x14ac:dyDescent="0.35">
      <c r="A313" t="s">
        <v>14</v>
      </c>
      <c r="B313" t="s">
        <v>64</v>
      </c>
      <c r="D313">
        <v>926.04371847800894</v>
      </c>
    </row>
    <row r="314" spans="1:4" x14ac:dyDescent="0.35">
      <c r="A314" t="s">
        <v>14</v>
      </c>
      <c r="B314" t="s">
        <v>65</v>
      </c>
      <c r="D314">
        <v>1017.6238301491198</v>
      </c>
    </row>
    <row r="315" spans="1:4" x14ac:dyDescent="0.35">
      <c r="A315" t="s">
        <v>14</v>
      </c>
      <c r="B315" t="s">
        <v>66</v>
      </c>
      <c r="D315">
        <v>742.36947850717786</v>
      </c>
    </row>
    <row r="316" spans="1:4" x14ac:dyDescent="0.35">
      <c r="A316" t="s">
        <v>14</v>
      </c>
      <c r="B316" t="s">
        <v>47</v>
      </c>
      <c r="D316">
        <v>4551.1662138148313</v>
      </c>
    </row>
    <row r="317" spans="1:4" x14ac:dyDescent="0.35">
      <c r="A317" t="s">
        <v>15</v>
      </c>
      <c r="B317" t="s">
        <v>61</v>
      </c>
      <c r="D317">
        <v>175.39592093693068</v>
      </c>
    </row>
    <row r="318" spans="1:4" x14ac:dyDescent="0.35">
      <c r="A318" t="s">
        <v>15</v>
      </c>
      <c r="B318" t="s">
        <v>62</v>
      </c>
      <c r="D318">
        <v>590.51992323696845</v>
      </c>
    </row>
    <row r="319" spans="1:4" x14ac:dyDescent="0.35">
      <c r="A319" t="s">
        <v>15</v>
      </c>
      <c r="B319" t="s">
        <v>63</v>
      </c>
      <c r="D319">
        <v>789.67013959978874</v>
      </c>
    </row>
    <row r="320" spans="1:4" x14ac:dyDescent="0.35">
      <c r="A320" t="s">
        <v>15</v>
      </c>
      <c r="B320" t="s">
        <v>64</v>
      </c>
      <c r="D320">
        <v>772.35434366338393</v>
      </c>
    </row>
    <row r="321" spans="1:4" x14ac:dyDescent="0.35">
      <c r="A321" t="s">
        <v>15</v>
      </c>
      <c r="B321" t="s">
        <v>65</v>
      </c>
      <c r="D321">
        <v>848.73550756632756</v>
      </c>
    </row>
    <row r="322" spans="1:4" x14ac:dyDescent="0.35">
      <c r="A322" t="s">
        <v>15</v>
      </c>
      <c r="B322" t="s">
        <v>66</v>
      </c>
      <c r="D322">
        <v>619.16330718219319</v>
      </c>
    </row>
    <row r="323" spans="1:4" x14ac:dyDescent="0.35">
      <c r="A323" t="s">
        <v>15</v>
      </c>
      <c r="B323" t="s">
        <v>47</v>
      </c>
      <c r="D323">
        <v>3795.8391421855931</v>
      </c>
    </row>
    <row r="324" spans="1:4" x14ac:dyDescent="0.35">
      <c r="A324" t="s">
        <v>16</v>
      </c>
      <c r="B324" t="s">
        <v>61</v>
      </c>
      <c r="D324">
        <v>1505.200726751005</v>
      </c>
    </row>
    <row r="325" spans="1:4" x14ac:dyDescent="0.35">
      <c r="A325" t="s">
        <v>16</v>
      </c>
      <c r="B325" t="s">
        <v>62</v>
      </c>
      <c r="D325">
        <v>5067.6835177760377</v>
      </c>
    </row>
    <row r="326" spans="1:4" x14ac:dyDescent="0.35">
      <c r="A326" t="s">
        <v>16</v>
      </c>
      <c r="B326" t="s">
        <v>63</v>
      </c>
      <c r="D326">
        <v>6776.7372335105438</v>
      </c>
    </row>
    <row r="327" spans="1:4" x14ac:dyDescent="0.35">
      <c r="A327" t="s">
        <v>16</v>
      </c>
      <c r="B327" t="s">
        <v>64</v>
      </c>
      <c r="D327">
        <v>6628.137719402569</v>
      </c>
    </row>
    <row r="328" spans="1:4" x14ac:dyDescent="0.35">
      <c r="A328" t="s">
        <v>16</v>
      </c>
      <c r="B328" t="s">
        <v>65</v>
      </c>
      <c r="D328">
        <v>7283.6203714657222</v>
      </c>
    </row>
    <row r="329" spans="1:4" x14ac:dyDescent="0.35">
      <c r="A329" t="s">
        <v>16</v>
      </c>
      <c r="B329" t="s">
        <v>66</v>
      </c>
      <c r="D329">
        <v>5313.4933524669113</v>
      </c>
    </row>
    <row r="330" spans="1:4" x14ac:dyDescent="0.35">
      <c r="A330" t="s">
        <v>16</v>
      </c>
      <c r="B330" t="s">
        <v>47</v>
      </c>
      <c r="D330">
        <v>32574.872921372786</v>
      </c>
    </row>
    <row r="331" spans="1:4" x14ac:dyDescent="0.35">
      <c r="A331" t="s">
        <v>17</v>
      </c>
      <c r="B331" t="s">
        <v>61</v>
      </c>
      <c r="D331">
        <v>36.901840262065605</v>
      </c>
    </row>
    <row r="332" spans="1:4" x14ac:dyDescent="0.35">
      <c r="A332" t="s">
        <v>17</v>
      </c>
      <c r="B332" t="s">
        <v>62</v>
      </c>
      <c r="D332">
        <v>124.24047128606608</v>
      </c>
    </row>
    <row r="333" spans="1:4" x14ac:dyDescent="0.35">
      <c r="A333" t="s">
        <v>17</v>
      </c>
      <c r="B333" t="s">
        <v>63</v>
      </c>
      <c r="D333">
        <v>166.14001737083038</v>
      </c>
    </row>
    <row r="334" spans="1:4" x14ac:dyDescent="0.35">
      <c r="A334" t="s">
        <v>17</v>
      </c>
      <c r="B334" t="s">
        <v>64</v>
      </c>
      <c r="D334">
        <v>162.49691819131465</v>
      </c>
    </row>
    <row r="335" spans="1:4" x14ac:dyDescent="0.35">
      <c r="A335" t="s">
        <v>17</v>
      </c>
      <c r="B335" t="s">
        <v>65</v>
      </c>
      <c r="D335">
        <v>178.56687862323713</v>
      </c>
    </row>
    <row r="336" spans="1:4" x14ac:dyDescent="0.35">
      <c r="A336" t="s">
        <v>17</v>
      </c>
      <c r="B336" t="s">
        <v>66</v>
      </c>
      <c r="D336">
        <v>130.26680059444138</v>
      </c>
    </row>
    <row r="337" spans="1:4" x14ac:dyDescent="0.35">
      <c r="A337" t="s">
        <v>17</v>
      </c>
      <c r="B337" t="s">
        <v>47</v>
      </c>
      <c r="D337">
        <v>798.61292632795528</v>
      </c>
    </row>
    <row r="338" spans="1:4" x14ac:dyDescent="0.35">
      <c r="A338" t="s">
        <v>18</v>
      </c>
      <c r="B338" t="s">
        <v>61</v>
      </c>
      <c r="D338">
        <v>61.771374754699565</v>
      </c>
    </row>
    <row r="339" spans="1:4" x14ac:dyDescent="0.35">
      <c r="A339" t="s">
        <v>18</v>
      </c>
      <c r="B339" t="s">
        <v>62</v>
      </c>
      <c r="D339">
        <v>207.97078565757394</v>
      </c>
    </row>
    <row r="340" spans="1:4" x14ac:dyDescent="0.35">
      <c r="A340" t="s">
        <v>18</v>
      </c>
      <c r="B340" t="s">
        <v>63</v>
      </c>
      <c r="D340">
        <v>278.10800767341988</v>
      </c>
    </row>
    <row r="341" spans="1:4" x14ac:dyDescent="0.35">
      <c r="A341" t="s">
        <v>18</v>
      </c>
      <c r="B341" t="s">
        <v>64</v>
      </c>
      <c r="D341">
        <v>272.00968728917229</v>
      </c>
    </row>
    <row r="342" spans="1:4" x14ac:dyDescent="0.35">
      <c r="A342" t="s">
        <v>18</v>
      </c>
      <c r="B342" t="s">
        <v>65</v>
      </c>
      <c r="D342">
        <v>298.90979690657576</v>
      </c>
    </row>
    <row r="343" spans="1:4" x14ac:dyDescent="0.35">
      <c r="A343" t="s">
        <v>18</v>
      </c>
      <c r="B343" t="s">
        <v>66</v>
      </c>
      <c r="D343">
        <v>218.05848435929832</v>
      </c>
    </row>
    <row r="344" spans="1:4" x14ac:dyDescent="0.35">
      <c r="A344" t="s">
        <v>18</v>
      </c>
      <c r="B344" t="s">
        <v>47</v>
      </c>
      <c r="D344">
        <v>1336.8281366407398</v>
      </c>
    </row>
    <row r="345" spans="1:4" x14ac:dyDescent="0.35">
      <c r="A345" t="s">
        <v>19</v>
      </c>
      <c r="B345" t="s">
        <v>61</v>
      </c>
      <c r="D345">
        <v>63.672865769427041</v>
      </c>
    </row>
    <row r="346" spans="1:4" x14ac:dyDescent="0.35">
      <c r="A346" t="s">
        <v>19</v>
      </c>
      <c r="B346" t="s">
        <v>62</v>
      </c>
      <c r="D346">
        <v>214.37269239551009</v>
      </c>
    </row>
    <row r="347" spans="1:4" x14ac:dyDescent="0.35">
      <c r="A347" t="s">
        <v>19</v>
      </c>
      <c r="B347" t="s">
        <v>63</v>
      </c>
      <c r="D347">
        <v>286.66892897094266</v>
      </c>
    </row>
    <row r="348" spans="1:4" x14ac:dyDescent="0.35">
      <c r="A348" t="s">
        <v>19</v>
      </c>
      <c r="B348" t="s">
        <v>64</v>
      </c>
      <c r="D348">
        <v>280.3828856897768</v>
      </c>
    </row>
    <row r="349" spans="1:4" x14ac:dyDescent="0.35">
      <c r="A349" t="s">
        <v>19</v>
      </c>
      <c r="B349" t="s">
        <v>65</v>
      </c>
      <c r="D349">
        <v>308.11105388505388</v>
      </c>
    </row>
    <row r="350" spans="1:4" x14ac:dyDescent="0.35">
      <c r="A350" t="s">
        <v>19</v>
      </c>
      <c r="B350" t="s">
        <v>66</v>
      </c>
      <c r="D350">
        <v>224.77091791514616</v>
      </c>
    </row>
    <row r="351" spans="1:4" x14ac:dyDescent="0.35">
      <c r="A351" t="s">
        <v>19</v>
      </c>
      <c r="B351" t="s">
        <v>47</v>
      </c>
      <c r="D351">
        <v>1377.9793446258566</v>
      </c>
    </row>
    <row r="352" spans="1:4" x14ac:dyDescent="0.35">
      <c r="A352" t="s">
        <v>20</v>
      </c>
      <c r="B352" t="s">
        <v>61</v>
      </c>
      <c r="D352">
        <v>6.2453011427556842</v>
      </c>
    </row>
    <row r="353" spans="1:4" x14ac:dyDescent="0.35">
      <c r="A353" t="s">
        <v>20</v>
      </c>
      <c r="B353" t="s">
        <v>62</v>
      </c>
      <c r="D353">
        <v>21.026570810263994</v>
      </c>
    </row>
    <row r="354" spans="1:4" x14ac:dyDescent="0.35">
      <c r="A354" t="s">
        <v>20</v>
      </c>
      <c r="B354" t="s">
        <v>63</v>
      </c>
      <c r="D354">
        <v>28.117688250093138</v>
      </c>
    </row>
    <row r="355" spans="1:4" x14ac:dyDescent="0.35">
      <c r="A355" t="s">
        <v>20</v>
      </c>
      <c r="B355" t="s">
        <v>64</v>
      </c>
      <c r="D355">
        <v>27.501126818266915</v>
      </c>
    </row>
    <row r="356" spans="1:4" x14ac:dyDescent="0.35">
      <c r="A356" t="s">
        <v>20</v>
      </c>
      <c r="B356" t="s">
        <v>65</v>
      </c>
      <c r="D356">
        <v>30.220821596001187</v>
      </c>
    </row>
    <row r="357" spans="1:4" x14ac:dyDescent="0.35">
      <c r="A357" t="s">
        <v>20</v>
      </c>
      <c r="B357" t="s">
        <v>66</v>
      </c>
      <c r="D357">
        <v>22.046472285337789</v>
      </c>
    </row>
    <row r="358" spans="1:4" x14ac:dyDescent="0.35">
      <c r="A358" t="s">
        <v>20</v>
      </c>
      <c r="B358" t="s">
        <v>47</v>
      </c>
      <c r="D358">
        <v>135.15798090271872</v>
      </c>
    </row>
    <row r="359" spans="1:4" x14ac:dyDescent="0.35">
      <c r="A359" t="s">
        <v>21</v>
      </c>
      <c r="B359" t="s">
        <v>61</v>
      </c>
      <c r="D359">
        <v>476.6580786707562</v>
      </c>
    </row>
    <row r="360" spans="1:4" x14ac:dyDescent="0.35">
      <c r="A360" t="s">
        <v>21</v>
      </c>
      <c r="B360" t="s">
        <v>62</v>
      </c>
      <c r="D360">
        <v>1604.8040942078105</v>
      </c>
    </row>
    <row r="361" spans="1:4" x14ac:dyDescent="0.35">
      <c r="A361" t="s">
        <v>21</v>
      </c>
      <c r="B361" t="s">
        <v>63</v>
      </c>
      <c r="D361">
        <v>2146.0171337773068</v>
      </c>
    </row>
    <row r="362" spans="1:4" x14ac:dyDescent="0.35">
      <c r="A362" t="s">
        <v>21</v>
      </c>
      <c r="B362" t="s">
        <v>64</v>
      </c>
      <c r="D362">
        <v>2098.9595170573061</v>
      </c>
    </row>
    <row r="363" spans="1:4" x14ac:dyDescent="0.35">
      <c r="A363" t="s">
        <v>21</v>
      </c>
      <c r="B363" t="s">
        <v>65</v>
      </c>
      <c r="D363">
        <v>2306.5338930070461</v>
      </c>
    </row>
    <row r="364" spans="1:4" x14ac:dyDescent="0.35">
      <c r="A364" t="s">
        <v>21</v>
      </c>
      <c r="B364" t="s">
        <v>66</v>
      </c>
      <c r="D364">
        <v>1682.6457012704348</v>
      </c>
    </row>
    <row r="365" spans="1:4" x14ac:dyDescent="0.35">
      <c r="A365" t="s">
        <v>21</v>
      </c>
      <c r="B365" t="s">
        <v>47</v>
      </c>
      <c r="D365">
        <v>10315.618417990661</v>
      </c>
    </row>
    <row r="366" spans="1:4" x14ac:dyDescent="0.35">
      <c r="A366" t="s">
        <v>22</v>
      </c>
      <c r="B366" t="s">
        <v>61</v>
      </c>
      <c r="D366">
        <v>926.04476998574341</v>
      </c>
    </row>
    <row r="367" spans="1:4" x14ac:dyDescent="0.35">
      <c r="A367" t="s">
        <v>22</v>
      </c>
      <c r="B367" t="s">
        <v>62</v>
      </c>
      <c r="D367">
        <v>3117.7913577740173</v>
      </c>
    </row>
    <row r="368" spans="1:4" x14ac:dyDescent="0.35">
      <c r="A368" t="s">
        <v>22</v>
      </c>
      <c r="B368" t="s">
        <v>63</v>
      </c>
      <c r="D368">
        <v>4169.2526193539488</v>
      </c>
    </row>
    <row r="369" spans="1:4" x14ac:dyDescent="0.35">
      <c r="A369" t="s">
        <v>22</v>
      </c>
      <c r="B369" t="s">
        <v>64</v>
      </c>
      <c r="D369">
        <v>4077.8297277645024</v>
      </c>
    </row>
    <row r="370" spans="1:4" x14ac:dyDescent="0.35">
      <c r="A370" t="s">
        <v>22</v>
      </c>
      <c r="B370" t="s">
        <v>65</v>
      </c>
      <c r="D370">
        <v>4481.1023750410541</v>
      </c>
    </row>
    <row r="371" spans="1:4" x14ac:dyDescent="0.35">
      <c r="A371" t="s">
        <v>22</v>
      </c>
      <c r="B371" t="s">
        <v>66</v>
      </c>
      <c r="D371">
        <v>3269.020963089109</v>
      </c>
    </row>
    <row r="372" spans="1:4" x14ac:dyDescent="0.35">
      <c r="A372" t="s">
        <v>22</v>
      </c>
      <c r="B372" t="s">
        <v>47</v>
      </c>
      <c r="D372">
        <v>20041.041813008374</v>
      </c>
    </row>
    <row r="373" spans="1:4" x14ac:dyDescent="0.35">
      <c r="A373" t="s">
        <v>23</v>
      </c>
      <c r="B373" t="s">
        <v>61</v>
      </c>
      <c r="D373">
        <v>180.47670182073662</v>
      </c>
    </row>
    <row r="374" spans="1:4" x14ac:dyDescent="0.35">
      <c r="A374" t="s">
        <v>23</v>
      </c>
      <c r="B374" t="s">
        <v>62</v>
      </c>
      <c r="D374">
        <v>607.62580757830267</v>
      </c>
    </row>
    <row r="375" spans="1:4" x14ac:dyDescent="0.35">
      <c r="A375" t="s">
        <v>23</v>
      </c>
      <c r="B375" t="s">
        <v>63</v>
      </c>
      <c r="D375">
        <v>812.54490731593012</v>
      </c>
    </row>
    <row r="376" spans="1:4" x14ac:dyDescent="0.35">
      <c r="A376" t="s">
        <v>23</v>
      </c>
      <c r="B376" t="s">
        <v>64</v>
      </c>
      <c r="D376">
        <v>794.72751610574915</v>
      </c>
    </row>
    <row r="377" spans="1:4" x14ac:dyDescent="0.35">
      <c r="A377" t="s">
        <v>23</v>
      </c>
      <c r="B377" t="s">
        <v>65</v>
      </c>
      <c r="D377">
        <v>873.32125117550163</v>
      </c>
    </row>
    <row r="378" spans="1:4" x14ac:dyDescent="0.35">
      <c r="A378" t="s">
        <v>23</v>
      </c>
      <c r="B378" t="s">
        <v>66</v>
      </c>
      <c r="D378">
        <v>637.09891867350348</v>
      </c>
    </row>
    <row r="379" spans="1:4" x14ac:dyDescent="0.35">
      <c r="A379" t="s">
        <v>23</v>
      </c>
      <c r="B379" t="s">
        <v>47</v>
      </c>
      <c r="D379">
        <v>3905.7951026697237</v>
      </c>
    </row>
    <row r="380" spans="1:4" x14ac:dyDescent="0.35">
      <c r="A380" t="s">
        <v>24</v>
      </c>
      <c r="B380" t="s">
        <v>61</v>
      </c>
      <c r="D380">
        <v>285.29861139162057</v>
      </c>
    </row>
    <row r="381" spans="1:4" x14ac:dyDescent="0.35">
      <c r="A381" t="s">
        <v>24</v>
      </c>
      <c r="B381" t="s">
        <v>62</v>
      </c>
      <c r="D381">
        <v>960.5383819568641</v>
      </c>
    </row>
    <row r="382" spans="1:4" x14ac:dyDescent="0.35">
      <c r="A382" t="s">
        <v>24</v>
      </c>
      <c r="B382" t="s">
        <v>63</v>
      </c>
      <c r="D382">
        <v>1284.4756769814385</v>
      </c>
    </row>
    <row r="383" spans="1:4" x14ac:dyDescent="0.35">
      <c r="A383" t="s">
        <v>24</v>
      </c>
      <c r="B383" t="s">
        <v>64</v>
      </c>
      <c r="D383">
        <v>1256.3098421695024</v>
      </c>
    </row>
    <row r="384" spans="1:4" x14ac:dyDescent="0.35">
      <c r="A384" t="s">
        <v>24</v>
      </c>
      <c r="B384" t="s">
        <v>65</v>
      </c>
      <c r="D384">
        <v>1380.5512719677556</v>
      </c>
    </row>
    <row r="385" spans="1:4" x14ac:dyDescent="0.35">
      <c r="A385" t="s">
        <v>24</v>
      </c>
      <c r="B385" t="s">
        <v>66</v>
      </c>
      <c r="D385">
        <v>1007.1296460038094</v>
      </c>
    </row>
    <row r="386" spans="1:4" x14ac:dyDescent="0.35">
      <c r="A386" t="s">
        <v>24</v>
      </c>
      <c r="B386" t="s">
        <v>47</v>
      </c>
      <c r="D386">
        <v>6174.30343047099</v>
      </c>
    </row>
    <row r="387" spans="1:4" x14ac:dyDescent="0.35">
      <c r="A387" t="s">
        <v>25</v>
      </c>
      <c r="B387" t="s">
        <v>61</v>
      </c>
      <c r="D387">
        <v>113.64754434435245</v>
      </c>
    </row>
    <row r="388" spans="1:4" x14ac:dyDescent="0.35">
      <c r="A388" t="s">
        <v>25</v>
      </c>
      <c r="B388" t="s">
        <v>62</v>
      </c>
      <c r="D388">
        <v>382.62656738995071</v>
      </c>
    </row>
    <row r="389" spans="1:4" x14ac:dyDescent="0.35">
      <c r="A389" t="s">
        <v>25</v>
      </c>
      <c r="B389" t="s">
        <v>63</v>
      </c>
      <c r="D389">
        <v>511.66567459598099</v>
      </c>
    </row>
    <row r="390" spans="1:4" x14ac:dyDescent="0.35">
      <c r="A390" t="s">
        <v>25</v>
      </c>
      <c r="B390" t="s">
        <v>64</v>
      </c>
      <c r="D390">
        <v>500.44592857208141</v>
      </c>
    </row>
    <row r="391" spans="1:4" x14ac:dyDescent="0.35">
      <c r="A391" t="s">
        <v>25</v>
      </c>
      <c r="B391" t="s">
        <v>65</v>
      </c>
      <c r="D391">
        <v>549.93699806425286</v>
      </c>
    </row>
    <row r="392" spans="1:4" x14ac:dyDescent="0.35">
      <c r="A392" t="s">
        <v>25</v>
      </c>
      <c r="B392" t="s">
        <v>66</v>
      </c>
      <c r="D392">
        <v>401.18600839461232</v>
      </c>
    </row>
    <row r="393" spans="1:4" x14ac:dyDescent="0.35">
      <c r="A393" t="s">
        <v>25</v>
      </c>
      <c r="B393" t="s">
        <v>47</v>
      </c>
      <c r="D393">
        <v>2459.5087213612305</v>
      </c>
    </row>
    <row r="394" spans="1:4" x14ac:dyDescent="0.35">
      <c r="A394" t="s">
        <v>26</v>
      </c>
      <c r="B394" t="s">
        <v>61</v>
      </c>
      <c r="D394">
        <v>61.72592384190385</v>
      </c>
    </row>
    <row r="395" spans="1:4" x14ac:dyDescent="0.35">
      <c r="A395" t="s">
        <v>26</v>
      </c>
      <c r="B395" t="s">
        <v>62</v>
      </c>
      <c r="D395">
        <v>207.81776231819524</v>
      </c>
    </row>
    <row r="396" spans="1:4" x14ac:dyDescent="0.35">
      <c r="A396" t="s">
        <v>26</v>
      </c>
      <c r="B396" t="s">
        <v>63</v>
      </c>
      <c r="D396">
        <v>277.90337789377281</v>
      </c>
    </row>
    <row r="397" spans="1:4" x14ac:dyDescent="0.35">
      <c r="A397" t="s">
        <v>26</v>
      </c>
      <c r="B397" t="s">
        <v>64</v>
      </c>
      <c r="D397">
        <v>271.80954460778202</v>
      </c>
    </row>
    <row r="398" spans="1:4" x14ac:dyDescent="0.35">
      <c r="A398" t="s">
        <v>26</v>
      </c>
      <c r="B398" t="s">
        <v>65</v>
      </c>
      <c r="D398">
        <v>298.68986132691714</v>
      </c>
    </row>
    <row r="399" spans="1:4" x14ac:dyDescent="0.35">
      <c r="A399" t="s">
        <v>26</v>
      </c>
      <c r="B399" t="s">
        <v>66</v>
      </c>
      <c r="D399">
        <v>217.8980385671116</v>
      </c>
    </row>
    <row r="400" spans="1:4" x14ac:dyDescent="0.35">
      <c r="A400" t="s">
        <v>26</v>
      </c>
      <c r="B400" t="s">
        <v>47</v>
      </c>
      <c r="D400">
        <v>1335.8445085556828</v>
      </c>
    </row>
    <row r="401" spans="1:4" x14ac:dyDescent="0.35">
      <c r="A401" t="s">
        <v>27</v>
      </c>
      <c r="B401" t="s">
        <v>61</v>
      </c>
      <c r="D401">
        <v>944.43246922106641</v>
      </c>
    </row>
    <row r="402" spans="1:4" x14ac:dyDescent="0.35">
      <c r="A402" t="s">
        <v>27</v>
      </c>
      <c r="B402" t="s">
        <v>62</v>
      </c>
      <c r="D402">
        <v>3179.6987424095578</v>
      </c>
    </row>
    <row r="403" spans="1:4" x14ac:dyDescent="0.35">
      <c r="A403" t="s">
        <v>27</v>
      </c>
      <c r="B403" t="s">
        <v>63</v>
      </c>
      <c r="D403">
        <v>4252.0379939767572</v>
      </c>
    </row>
    <row r="404" spans="1:4" x14ac:dyDescent="0.35">
      <c r="A404" t="s">
        <v>27</v>
      </c>
      <c r="B404" t="s">
        <v>64</v>
      </c>
      <c r="D404">
        <v>4158.7997942205193</v>
      </c>
    </row>
    <row r="405" spans="1:4" x14ac:dyDescent="0.35">
      <c r="A405" t="s">
        <v>27</v>
      </c>
      <c r="B405" t="s">
        <v>65</v>
      </c>
      <c r="D405">
        <v>4570.0798903681098</v>
      </c>
    </row>
    <row r="406" spans="1:4" x14ac:dyDescent="0.35">
      <c r="A406" t="s">
        <v>27</v>
      </c>
      <c r="B406" t="s">
        <v>66</v>
      </c>
      <c r="D406">
        <v>3333.9311879631978</v>
      </c>
    </row>
    <row r="407" spans="1:4" x14ac:dyDescent="0.35">
      <c r="A407" t="s">
        <v>27</v>
      </c>
      <c r="B407" t="s">
        <v>47</v>
      </c>
      <c r="D407">
        <v>20438.980078159206</v>
      </c>
    </row>
    <row r="408" spans="1:4" x14ac:dyDescent="0.35">
      <c r="A408" t="s">
        <v>28</v>
      </c>
      <c r="B408" t="s">
        <v>61</v>
      </c>
      <c r="D408">
        <v>155.12543431981121</v>
      </c>
    </row>
    <row r="409" spans="1:4" x14ac:dyDescent="0.35">
      <c r="A409" t="s">
        <v>28</v>
      </c>
      <c r="B409" t="s">
        <v>62</v>
      </c>
      <c r="D409">
        <v>522.27360292817605</v>
      </c>
    </row>
    <row r="410" spans="1:4" x14ac:dyDescent="0.35">
      <c r="A410" t="s">
        <v>28</v>
      </c>
      <c r="B410" t="s">
        <v>63</v>
      </c>
      <c r="D410">
        <v>698.4080514554912</v>
      </c>
    </row>
    <row r="411" spans="1:4" x14ac:dyDescent="0.35">
      <c r="A411" t="s">
        <v>28</v>
      </c>
      <c r="B411" t="s">
        <v>64</v>
      </c>
      <c r="D411">
        <v>683.09344008437563</v>
      </c>
    </row>
    <row r="412" spans="1:4" x14ac:dyDescent="0.35">
      <c r="A412" t="s">
        <v>28</v>
      </c>
      <c r="B412" t="s">
        <v>65</v>
      </c>
      <c r="D412">
        <v>750.64724156963018</v>
      </c>
    </row>
    <row r="413" spans="1:4" x14ac:dyDescent="0.35">
      <c r="A413" t="s">
        <v>28</v>
      </c>
      <c r="B413" t="s">
        <v>66</v>
      </c>
      <c r="D413">
        <v>547.60667425136751</v>
      </c>
    </row>
    <row r="414" spans="1:4" x14ac:dyDescent="0.35">
      <c r="A414" t="s">
        <v>28</v>
      </c>
      <c r="B414" t="s">
        <v>47</v>
      </c>
      <c r="D414">
        <v>3357.1544446088519</v>
      </c>
    </row>
    <row r="415" spans="1:4" x14ac:dyDescent="0.35">
      <c r="A415" t="s">
        <v>29</v>
      </c>
      <c r="B415" t="s">
        <v>72</v>
      </c>
      <c r="D415">
        <v>0</v>
      </c>
    </row>
    <row r="416" spans="1:4" x14ac:dyDescent="0.35">
      <c r="A416" t="s">
        <v>29</v>
      </c>
      <c r="B416" t="s">
        <v>61</v>
      </c>
      <c r="D416">
        <v>11414.516524247279</v>
      </c>
    </row>
    <row r="417" spans="1:5" x14ac:dyDescent="0.35">
      <c r="A417" t="s">
        <v>29</v>
      </c>
      <c r="B417" t="s">
        <v>62</v>
      </c>
      <c r="D417">
        <v>38430.19487385558</v>
      </c>
    </row>
    <row r="418" spans="1:5" x14ac:dyDescent="0.35">
      <c r="A418" t="s">
        <v>29</v>
      </c>
      <c r="B418" t="s">
        <v>63</v>
      </c>
      <c r="D418">
        <v>51390.607084914001</v>
      </c>
    </row>
    <row r="419" spans="1:5" x14ac:dyDescent="0.35">
      <c r="A419" t="s">
        <v>29</v>
      </c>
      <c r="B419" t="s">
        <v>64</v>
      </c>
      <c r="D419">
        <v>50263.71976740528</v>
      </c>
    </row>
    <row r="420" spans="1:5" x14ac:dyDescent="0.35">
      <c r="A420" t="s">
        <v>29</v>
      </c>
      <c r="B420" t="s">
        <v>65</v>
      </c>
      <c r="D420">
        <v>55234.497040069997</v>
      </c>
    </row>
    <row r="421" spans="1:5" x14ac:dyDescent="0.35">
      <c r="A421" t="s">
        <v>29</v>
      </c>
      <c r="B421" t="s">
        <v>66</v>
      </c>
      <c r="D421">
        <v>40294.265472570885</v>
      </c>
    </row>
    <row r="422" spans="1:5" x14ac:dyDescent="0.35">
      <c r="A422" t="s">
        <v>29</v>
      </c>
      <c r="B422" t="s">
        <v>47</v>
      </c>
      <c r="D422">
        <v>247027.80076306302</v>
      </c>
    </row>
    <row r="423" spans="1:5" x14ac:dyDescent="0.35">
      <c r="A423" t="s">
        <v>2</v>
      </c>
      <c r="B423" t="s">
        <v>72</v>
      </c>
      <c r="E423">
        <v>11.866666666666667</v>
      </c>
    </row>
    <row r="424" spans="1:5" x14ac:dyDescent="0.35">
      <c r="A424" t="s">
        <v>2</v>
      </c>
      <c r="B424" t="s">
        <v>61</v>
      </c>
      <c r="E424">
        <v>32.336666666666659</v>
      </c>
    </row>
    <row r="425" spans="1:5" x14ac:dyDescent="0.35">
      <c r="A425" t="s">
        <v>2</v>
      </c>
      <c r="B425" t="s">
        <v>62</v>
      </c>
      <c r="E425">
        <v>31.150000000000006</v>
      </c>
    </row>
    <row r="426" spans="1:5" x14ac:dyDescent="0.35">
      <c r="A426" t="s">
        <v>2</v>
      </c>
      <c r="B426" t="s">
        <v>63</v>
      </c>
      <c r="E426">
        <v>30.556666666666672</v>
      </c>
    </row>
    <row r="427" spans="1:5" x14ac:dyDescent="0.35">
      <c r="A427" t="s">
        <v>2</v>
      </c>
      <c r="B427" t="s">
        <v>64</v>
      </c>
      <c r="E427">
        <v>29.963333333333338</v>
      </c>
    </row>
    <row r="428" spans="1:5" x14ac:dyDescent="0.35">
      <c r="A428" t="s">
        <v>2</v>
      </c>
      <c r="B428" t="s">
        <v>65</v>
      </c>
      <c r="E428">
        <v>29.073333333333338</v>
      </c>
    </row>
    <row r="429" spans="1:5" x14ac:dyDescent="0.35">
      <c r="A429" t="s">
        <v>2</v>
      </c>
      <c r="B429" t="s">
        <v>66</v>
      </c>
      <c r="E429">
        <v>27.88666666666667</v>
      </c>
    </row>
    <row r="430" spans="1:5" x14ac:dyDescent="0.35">
      <c r="A430" t="s">
        <v>2</v>
      </c>
      <c r="B430" t="s">
        <v>47</v>
      </c>
      <c r="E430">
        <v>192.99308442243171</v>
      </c>
    </row>
    <row r="431" spans="1:5" x14ac:dyDescent="0.35">
      <c r="A431" t="s">
        <v>3</v>
      </c>
      <c r="B431" t="s">
        <v>72</v>
      </c>
      <c r="E431">
        <v>34</v>
      </c>
    </row>
    <row r="432" spans="1:5" x14ac:dyDescent="0.35">
      <c r="A432" t="s">
        <v>3</v>
      </c>
      <c r="B432" t="s">
        <v>61</v>
      </c>
      <c r="E432">
        <v>92.649999999999977</v>
      </c>
    </row>
    <row r="433" spans="1:5" x14ac:dyDescent="0.35">
      <c r="A433" t="s">
        <v>3</v>
      </c>
      <c r="B433" t="s">
        <v>62</v>
      </c>
      <c r="E433">
        <v>89.25</v>
      </c>
    </row>
    <row r="434" spans="1:5" x14ac:dyDescent="0.35">
      <c r="A434" t="s">
        <v>3</v>
      </c>
      <c r="B434" t="s">
        <v>63</v>
      </c>
      <c r="E434">
        <v>87.550000000000011</v>
      </c>
    </row>
    <row r="435" spans="1:5" x14ac:dyDescent="0.35">
      <c r="A435" t="s">
        <v>3</v>
      </c>
      <c r="B435" t="s">
        <v>64</v>
      </c>
      <c r="E435">
        <v>85.850000000000023</v>
      </c>
    </row>
    <row r="436" spans="1:5" x14ac:dyDescent="0.35">
      <c r="A436" t="s">
        <v>3</v>
      </c>
      <c r="B436" t="s">
        <v>65</v>
      </c>
      <c r="E436">
        <v>83.300000000000011</v>
      </c>
    </row>
    <row r="437" spans="1:5" x14ac:dyDescent="0.35">
      <c r="A437" t="s">
        <v>3</v>
      </c>
      <c r="B437" t="s">
        <v>66</v>
      </c>
      <c r="E437">
        <v>79.899999999999977</v>
      </c>
    </row>
    <row r="438" spans="1:5" x14ac:dyDescent="0.35">
      <c r="A438" t="s">
        <v>3</v>
      </c>
      <c r="B438" t="s">
        <v>47</v>
      </c>
      <c r="E438">
        <v>553.24329211310919</v>
      </c>
    </row>
    <row r="439" spans="1:5" x14ac:dyDescent="0.35">
      <c r="A439" t="s">
        <v>4</v>
      </c>
      <c r="B439" t="s">
        <v>72</v>
      </c>
      <c r="E439">
        <v>51.333333333333343</v>
      </c>
    </row>
    <row r="440" spans="1:5" x14ac:dyDescent="0.35">
      <c r="A440" t="s">
        <v>4</v>
      </c>
      <c r="B440" t="s">
        <v>61</v>
      </c>
      <c r="E440">
        <v>139.88333333333333</v>
      </c>
    </row>
    <row r="441" spans="1:5" x14ac:dyDescent="0.35">
      <c r="A441" t="s">
        <v>4</v>
      </c>
      <c r="B441" t="s">
        <v>62</v>
      </c>
      <c r="E441">
        <v>134.75</v>
      </c>
    </row>
    <row r="442" spans="1:5" x14ac:dyDescent="0.35">
      <c r="A442" t="s">
        <v>4</v>
      </c>
      <c r="B442" t="s">
        <v>63</v>
      </c>
      <c r="E442">
        <v>132.18333333333334</v>
      </c>
    </row>
    <row r="443" spans="1:5" x14ac:dyDescent="0.35">
      <c r="A443" t="s">
        <v>4</v>
      </c>
      <c r="B443" t="s">
        <v>64</v>
      </c>
      <c r="E443">
        <v>129.61666666666667</v>
      </c>
    </row>
    <row r="444" spans="1:5" x14ac:dyDescent="0.35">
      <c r="A444" t="s">
        <v>4</v>
      </c>
      <c r="B444" t="s">
        <v>65</v>
      </c>
      <c r="E444">
        <v>125.76666666666665</v>
      </c>
    </row>
    <row r="445" spans="1:5" x14ac:dyDescent="0.35">
      <c r="A445" t="s">
        <v>4</v>
      </c>
      <c r="B445" t="s">
        <v>66</v>
      </c>
      <c r="E445">
        <v>120.63333333333333</v>
      </c>
    </row>
    <row r="446" spans="1:5" x14ac:dyDescent="0.35">
      <c r="A446" t="s">
        <v>4</v>
      </c>
      <c r="B446" t="s">
        <v>47</v>
      </c>
      <c r="E446">
        <v>833.16342676936665</v>
      </c>
    </row>
    <row r="447" spans="1:5" x14ac:dyDescent="0.35">
      <c r="A447" t="s">
        <v>5</v>
      </c>
      <c r="B447" t="s">
        <v>72</v>
      </c>
      <c r="E447">
        <v>25.866666666666674</v>
      </c>
    </row>
    <row r="448" spans="1:5" x14ac:dyDescent="0.35">
      <c r="A448" t="s">
        <v>5</v>
      </c>
      <c r="B448" t="s">
        <v>61</v>
      </c>
      <c r="E448">
        <v>70.48666666666665</v>
      </c>
    </row>
    <row r="449" spans="1:5" x14ac:dyDescent="0.35">
      <c r="A449" t="s">
        <v>5</v>
      </c>
      <c r="B449" t="s">
        <v>62</v>
      </c>
      <c r="E449">
        <v>67.900000000000006</v>
      </c>
    </row>
    <row r="450" spans="1:5" x14ac:dyDescent="0.35">
      <c r="A450" t="s">
        <v>5</v>
      </c>
      <c r="B450" t="s">
        <v>63</v>
      </c>
      <c r="E450">
        <v>66.606666666666683</v>
      </c>
    </row>
    <row r="451" spans="1:5" x14ac:dyDescent="0.35">
      <c r="A451" t="s">
        <v>5</v>
      </c>
      <c r="B451" t="s">
        <v>64</v>
      </c>
      <c r="E451">
        <v>65.313333333333333</v>
      </c>
    </row>
    <row r="452" spans="1:5" x14ac:dyDescent="0.35">
      <c r="A452" t="s">
        <v>5</v>
      </c>
      <c r="B452" t="s">
        <v>65</v>
      </c>
      <c r="E452">
        <v>63.373333333333335</v>
      </c>
    </row>
    <row r="453" spans="1:5" x14ac:dyDescent="0.35">
      <c r="A453" t="s">
        <v>5</v>
      </c>
      <c r="B453" t="s">
        <v>66</v>
      </c>
      <c r="E453">
        <v>60.786666666666662</v>
      </c>
    </row>
    <row r="454" spans="1:5" x14ac:dyDescent="0.35">
      <c r="A454" t="s">
        <v>5</v>
      </c>
      <c r="B454" t="s">
        <v>47</v>
      </c>
      <c r="E454">
        <v>421.02396634152319</v>
      </c>
    </row>
    <row r="455" spans="1:5" x14ac:dyDescent="0.35">
      <c r="A455" t="s">
        <v>6</v>
      </c>
      <c r="B455" t="s">
        <v>72</v>
      </c>
      <c r="E455">
        <v>2.6666666666666661</v>
      </c>
    </row>
    <row r="456" spans="1:5" x14ac:dyDescent="0.35">
      <c r="A456" t="s">
        <v>6</v>
      </c>
      <c r="B456" t="s">
        <v>61</v>
      </c>
      <c r="E456">
        <v>7.2666666666666657</v>
      </c>
    </row>
    <row r="457" spans="1:5" x14ac:dyDescent="0.35">
      <c r="A457" t="s">
        <v>6</v>
      </c>
      <c r="B457" t="s">
        <v>62</v>
      </c>
      <c r="E457">
        <v>7</v>
      </c>
    </row>
    <row r="458" spans="1:5" x14ac:dyDescent="0.35">
      <c r="A458" t="s">
        <v>6</v>
      </c>
      <c r="B458" t="s">
        <v>63</v>
      </c>
      <c r="E458">
        <v>6.8666666666666671</v>
      </c>
    </row>
    <row r="459" spans="1:5" x14ac:dyDescent="0.35">
      <c r="A459" t="s">
        <v>6</v>
      </c>
      <c r="B459" t="s">
        <v>64</v>
      </c>
      <c r="E459">
        <v>6.7333333333333343</v>
      </c>
    </row>
    <row r="460" spans="1:5" x14ac:dyDescent="0.35">
      <c r="A460" t="s">
        <v>6</v>
      </c>
      <c r="B460" t="s">
        <v>65</v>
      </c>
      <c r="E460">
        <v>6.533333333333335</v>
      </c>
    </row>
    <row r="461" spans="1:5" x14ac:dyDescent="0.35">
      <c r="A461" t="s">
        <v>6</v>
      </c>
      <c r="B461" t="s">
        <v>66</v>
      </c>
      <c r="E461">
        <v>6.2666666666666657</v>
      </c>
    </row>
    <row r="462" spans="1:5" x14ac:dyDescent="0.35">
      <c r="A462" t="s">
        <v>6</v>
      </c>
      <c r="B462" t="s">
        <v>47</v>
      </c>
      <c r="E462">
        <v>43.707635777150557</v>
      </c>
    </row>
    <row r="463" spans="1:5" x14ac:dyDescent="0.35">
      <c r="A463" t="s">
        <v>7</v>
      </c>
      <c r="B463" t="s">
        <v>72</v>
      </c>
      <c r="E463">
        <v>32</v>
      </c>
    </row>
    <row r="464" spans="1:5" x14ac:dyDescent="0.35">
      <c r="A464" t="s">
        <v>7</v>
      </c>
      <c r="B464" t="s">
        <v>61</v>
      </c>
      <c r="E464">
        <v>87.199999999999989</v>
      </c>
    </row>
    <row r="465" spans="1:5" x14ac:dyDescent="0.35">
      <c r="A465" t="s">
        <v>7</v>
      </c>
      <c r="B465" t="s">
        <v>62</v>
      </c>
      <c r="E465">
        <v>84</v>
      </c>
    </row>
    <row r="466" spans="1:5" x14ac:dyDescent="0.35">
      <c r="A466" t="s">
        <v>7</v>
      </c>
      <c r="B466" t="s">
        <v>63</v>
      </c>
      <c r="E466">
        <v>82.4</v>
      </c>
    </row>
    <row r="467" spans="1:5" x14ac:dyDescent="0.35">
      <c r="A467" t="s">
        <v>7</v>
      </c>
      <c r="B467" t="s">
        <v>64</v>
      </c>
      <c r="E467">
        <v>80.799999999999983</v>
      </c>
    </row>
    <row r="468" spans="1:5" x14ac:dyDescent="0.35">
      <c r="A468" t="s">
        <v>7</v>
      </c>
      <c r="B468" t="s">
        <v>65</v>
      </c>
      <c r="E468">
        <v>78.400000000000006</v>
      </c>
    </row>
    <row r="469" spans="1:5" x14ac:dyDescent="0.35">
      <c r="A469" t="s">
        <v>7</v>
      </c>
      <c r="B469" t="s">
        <v>66</v>
      </c>
      <c r="E469">
        <v>75.200000000000017</v>
      </c>
    </row>
    <row r="470" spans="1:5" x14ac:dyDescent="0.35">
      <c r="A470" t="s">
        <v>7</v>
      </c>
      <c r="B470" t="s">
        <v>47</v>
      </c>
      <c r="E470">
        <v>520.54482446431166</v>
      </c>
    </row>
    <row r="471" spans="1:5" x14ac:dyDescent="0.35">
      <c r="A471" t="s">
        <v>8</v>
      </c>
      <c r="B471" t="s">
        <v>72</v>
      </c>
      <c r="E471">
        <v>6.6666666666666679</v>
      </c>
    </row>
    <row r="472" spans="1:5" x14ac:dyDescent="0.35">
      <c r="A472" t="s">
        <v>8</v>
      </c>
      <c r="B472" t="s">
        <v>61</v>
      </c>
      <c r="E472">
        <v>18.166666666666671</v>
      </c>
    </row>
    <row r="473" spans="1:5" x14ac:dyDescent="0.35">
      <c r="A473" t="s">
        <v>8</v>
      </c>
      <c r="B473" t="s">
        <v>62</v>
      </c>
      <c r="E473">
        <v>17.5</v>
      </c>
    </row>
    <row r="474" spans="1:5" x14ac:dyDescent="0.35">
      <c r="A474" t="s">
        <v>8</v>
      </c>
      <c r="B474" t="s">
        <v>63</v>
      </c>
      <c r="E474">
        <v>17.166666666666671</v>
      </c>
    </row>
    <row r="475" spans="1:5" x14ac:dyDescent="0.35">
      <c r="A475" t="s">
        <v>8</v>
      </c>
      <c r="B475" t="s">
        <v>64</v>
      </c>
      <c r="E475">
        <v>16.833333333333329</v>
      </c>
    </row>
    <row r="476" spans="1:5" x14ac:dyDescent="0.35">
      <c r="A476" t="s">
        <v>8</v>
      </c>
      <c r="B476" t="s">
        <v>65</v>
      </c>
      <c r="E476">
        <v>16.333333333333329</v>
      </c>
    </row>
    <row r="477" spans="1:5" x14ac:dyDescent="0.35">
      <c r="A477" t="s">
        <v>8</v>
      </c>
      <c r="B477" t="s">
        <v>66</v>
      </c>
      <c r="E477">
        <v>15.666666666666664</v>
      </c>
    </row>
    <row r="478" spans="1:5" x14ac:dyDescent="0.35">
      <c r="A478" t="s">
        <v>8</v>
      </c>
      <c r="B478" t="s">
        <v>47</v>
      </c>
      <c r="E478">
        <v>108.33850414785871</v>
      </c>
    </row>
    <row r="479" spans="1:5" x14ac:dyDescent="0.35">
      <c r="A479" t="s">
        <v>9</v>
      </c>
      <c r="B479" t="s">
        <v>72</v>
      </c>
      <c r="E479">
        <v>3.8666666666666671</v>
      </c>
    </row>
    <row r="480" spans="1:5" x14ac:dyDescent="0.35">
      <c r="A480" t="s">
        <v>9</v>
      </c>
      <c r="B480" t="s">
        <v>61</v>
      </c>
      <c r="E480">
        <v>10.536666666666669</v>
      </c>
    </row>
    <row r="481" spans="1:5" x14ac:dyDescent="0.35">
      <c r="A481" t="s">
        <v>9</v>
      </c>
      <c r="B481" t="s">
        <v>62</v>
      </c>
      <c r="E481">
        <v>10.150000000000002</v>
      </c>
    </row>
    <row r="482" spans="1:5" x14ac:dyDescent="0.35">
      <c r="A482" t="s">
        <v>9</v>
      </c>
      <c r="B482" t="s">
        <v>63</v>
      </c>
      <c r="E482">
        <v>9.9566666666666634</v>
      </c>
    </row>
    <row r="483" spans="1:5" x14ac:dyDescent="0.35">
      <c r="A483" t="s">
        <v>9</v>
      </c>
      <c r="B483" t="s">
        <v>64</v>
      </c>
      <c r="E483">
        <v>9.7633333333333354</v>
      </c>
    </row>
    <row r="484" spans="1:5" x14ac:dyDescent="0.35">
      <c r="A484" t="s">
        <v>9</v>
      </c>
      <c r="B484" t="s">
        <v>65</v>
      </c>
      <c r="E484">
        <v>9.4733333333333327</v>
      </c>
    </row>
    <row r="485" spans="1:5" x14ac:dyDescent="0.35">
      <c r="A485" t="s">
        <v>9</v>
      </c>
      <c r="B485" t="s">
        <v>66</v>
      </c>
      <c r="E485">
        <v>9.086666666666666</v>
      </c>
    </row>
    <row r="486" spans="1:5" x14ac:dyDescent="0.35">
      <c r="A486" t="s">
        <v>9</v>
      </c>
      <c r="B486" t="s">
        <v>47</v>
      </c>
      <c r="E486">
        <v>62.081523592704144</v>
      </c>
    </row>
    <row r="487" spans="1:5" x14ac:dyDescent="0.35">
      <c r="A487" t="s">
        <v>10</v>
      </c>
      <c r="B487" t="s">
        <v>72</v>
      </c>
      <c r="E487">
        <v>11.866666666666667</v>
      </c>
    </row>
    <row r="488" spans="1:5" x14ac:dyDescent="0.35">
      <c r="A488" t="s">
        <v>10</v>
      </c>
      <c r="B488" t="s">
        <v>61</v>
      </c>
      <c r="E488">
        <v>32.336666666666659</v>
      </c>
    </row>
    <row r="489" spans="1:5" x14ac:dyDescent="0.35">
      <c r="A489" t="s">
        <v>10</v>
      </c>
      <c r="B489" t="s">
        <v>62</v>
      </c>
      <c r="E489">
        <v>31.150000000000006</v>
      </c>
    </row>
    <row r="490" spans="1:5" x14ac:dyDescent="0.35">
      <c r="A490" t="s">
        <v>10</v>
      </c>
      <c r="B490" t="s">
        <v>63</v>
      </c>
      <c r="E490">
        <v>30.556666666666672</v>
      </c>
    </row>
    <row r="491" spans="1:5" x14ac:dyDescent="0.35">
      <c r="A491" t="s">
        <v>10</v>
      </c>
      <c r="B491" t="s">
        <v>64</v>
      </c>
      <c r="E491">
        <v>29.963333333333338</v>
      </c>
    </row>
    <row r="492" spans="1:5" x14ac:dyDescent="0.35">
      <c r="A492" t="s">
        <v>10</v>
      </c>
      <c r="B492" t="s">
        <v>65</v>
      </c>
      <c r="E492">
        <v>29.073333333333338</v>
      </c>
    </row>
    <row r="493" spans="1:5" x14ac:dyDescent="0.35">
      <c r="A493" t="s">
        <v>10</v>
      </c>
      <c r="B493" t="s">
        <v>66</v>
      </c>
      <c r="E493">
        <v>27.88666666666667</v>
      </c>
    </row>
    <row r="494" spans="1:5" x14ac:dyDescent="0.35">
      <c r="A494" t="s">
        <v>10</v>
      </c>
      <c r="B494" t="s">
        <v>47</v>
      </c>
      <c r="E494">
        <v>116.05274128189069</v>
      </c>
    </row>
    <row r="495" spans="1:5" x14ac:dyDescent="0.35">
      <c r="A495" t="s">
        <v>11</v>
      </c>
      <c r="B495" t="s">
        <v>72</v>
      </c>
      <c r="E495">
        <v>149.20000000000005</v>
      </c>
    </row>
    <row r="496" spans="1:5" x14ac:dyDescent="0.35">
      <c r="A496" t="s">
        <v>11</v>
      </c>
      <c r="B496" t="s">
        <v>61</v>
      </c>
      <c r="E496">
        <v>406.56999999999994</v>
      </c>
    </row>
    <row r="497" spans="1:5" x14ac:dyDescent="0.35">
      <c r="A497" t="s">
        <v>11</v>
      </c>
      <c r="B497" t="s">
        <v>62</v>
      </c>
      <c r="E497">
        <v>391.65000000000009</v>
      </c>
    </row>
    <row r="498" spans="1:5" x14ac:dyDescent="0.35">
      <c r="A498" t="s">
        <v>11</v>
      </c>
      <c r="B498" t="s">
        <v>63</v>
      </c>
      <c r="E498">
        <v>384.19000000000005</v>
      </c>
    </row>
    <row r="499" spans="1:5" x14ac:dyDescent="0.35">
      <c r="A499" t="s">
        <v>11</v>
      </c>
      <c r="B499" t="s">
        <v>64</v>
      </c>
      <c r="E499">
        <v>376.73</v>
      </c>
    </row>
    <row r="500" spans="1:5" x14ac:dyDescent="0.35">
      <c r="A500" t="s">
        <v>11</v>
      </c>
      <c r="B500" t="s">
        <v>65</v>
      </c>
      <c r="E500">
        <v>365.53999999999996</v>
      </c>
    </row>
    <row r="501" spans="1:5" x14ac:dyDescent="0.35">
      <c r="A501" t="s">
        <v>11</v>
      </c>
      <c r="B501" t="s">
        <v>66</v>
      </c>
      <c r="E501">
        <v>350.61999999999989</v>
      </c>
    </row>
    <row r="502" spans="1:5" x14ac:dyDescent="0.35">
      <c r="A502" t="s">
        <v>11</v>
      </c>
      <c r="B502" t="s">
        <v>47</v>
      </c>
      <c r="E502">
        <v>2425.6083990430652</v>
      </c>
    </row>
    <row r="503" spans="1:5" x14ac:dyDescent="0.35">
      <c r="A503" t="s">
        <v>12</v>
      </c>
      <c r="B503" t="s">
        <v>72</v>
      </c>
      <c r="E503">
        <v>109.06666666666666</v>
      </c>
    </row>
    <row r="504" spans="1:5" x14ac:dyDescent="0.35">
      <c r="A504" t="s">
        <v>12</v>
      </c>
      <c r="B504" t="s">
        <v>61</v>
      </c>
      <c r="E504">
        <v>297.20666666666659</v>
      </c>
    </row>
    <row r="505" spans="1:5" x14ac:dyDescent="0.35">
      <c r="A505" t="s">
        <v>12</v>
      </c>
      <c r="B505" t="s">
        <v>62</v>
      </c>
      <c r="E505">
        <v>286.30000000000007</v>
      </c>
    </row>
    <row r="506" spans="1:5" x14ac:dyDescent="0.35">
      <c r="A506" t="s">
        <v>12</v>
      </c>
      <c r="B506" t="s">
        <v>63</v>
      </c>
      <c r="E506">
        <v>280.84666666666658</v>
      </c>
    </row>
    <row r="507" spans="1:5" x14ac:dyDescent="0.35">
      <c r="A507" t="s">
        <v>12</v>
      </c>
      <c r="B507" t="s">
        <v>64</v>
      </c>
      <c r="E507">
        <v>275.39333333333332</v>
      </c>
    </row>
    <row r="508" spans="1:5" x14ac:dyDescent="0.35">
      <c r="A508" t="s">
        <v>12</v>
      </c>
      <c r="B508" t="s">
        <v>65</v>
      </c>
      <c r="E508">
        <v>267.21333333333325</v>
      </c>
    </row>
    <row r="509" spans="1:5" x14ac:dyDescent="0.35">
      <c r="A509" t="s">
        <v>12</v>
      </c>
      <c r="B509" t="s">
        <v>66</v>
      </c>
      <c r="E509">
        <v>256.30666666666673</v>
      </c>
    </row>
    <row r="510" spans="1:5" x14ac:dyDescent="0.35">
      <c r="A510" t="s">
        <v>12</v>
      </c>
      <c r="B510" t="s">
        <v>47</v>
      </c>
      <c r="E510">
        <v>1772.7246928728964</v>
      </c>
    </row>
    <row r="511" spans="1:5" x14ac:dyDescent="0.35">
      <c r="A511" t="s">
        <v>13</v>
      </c>
      <c r="B511" t="s">
        <v>72</v>
      </c>
      <c r="E511">
        <v>73.599999999999994</v>
      </c>
    </row>
    <row r="512" spans="1:5" x14ac:dyDescent="0.35">
      <c r="A512" t="s">
        <v>13</v>
      </c>
      <c r="B512" t="s">
        <v>61</v>
      </c>
      <c r="E512">
        <v>200.55999999999995</v>
      </c>
    </row>
    <row r="513" spans="1:5" x14ac:dyDescent="0.35">
      <c r="A513" t="s">
        <v>13</v>
      </c>
      <c r="B513" t="s">
        <v>62</v>
      </c>
      <c r="E513">
        <v>193.20000000000005</v>
      </c>
    </row>
    <row r="514" spans="1:5" x14ac:dyDescent="0.35">
      <c r="A514" t="s">
        <v>13</v>
      </c>
      <c r="B514" t="s">
        <v>63</v>
      </c>
      <c r="E514">
        <v>189.51999999999998</v>
      </c>
    </row>
    <row r="515" spans="1:5" x14ac:dyDescent="0.35">
      <c r="A515" t="s">
        <v>13</v>
      </c>
      <c r="B515" t="s">
        <v>64</v>
      </c>
      <c r="E515">
        <v>185.84000000000003</v>
      </c>
    </row>
    <row r="516" spans="1:5" x14ac:dyDescent="0.35">
      <c r="A516" t="s">
        <v>13</v>
      </c>
      <c r="B516" t="s">
        <v>65</v>
      </c>
      <c r="E516">
        <v>180.32000000000005</v>
      </c>
    </row>
    <row r="517" spans="1:5" x14ac:dyDescent="0.35">
      <c r="A517" t="s">
        <v>13</v>
      </c>
      <c r="B517" t="s">
        <v>66</v>
      </c>
      <c r="E517">
        <v>172.96000000000004</v>
      </c>
    </row>
    <row r="518" spans="1:5" x14ac:dyDescent="0.35">
      <c r="A518" t="s">
        <v>13</v>
      </c>
      <c r="B518" t="s">
        <v>47</v>
      </c>
      <c r="E518">
        <v>1195.6145360455871</v>
      </c>
    </row>
    <row r="519" spans="1:5" x14ac:dyDescent="0.35">
      <c r="A519" t="s">
        <v>14</v>
      </c>
      <c r="B519" t="s">
        <v>72</v>
      </c>
      <c r="E519">
        <v>57.73333333333332</v>
      </c>
    </row>
    <row r="520" spans="1:5" x14ac:dyDescent="0.35">
      <c r="A520" t="s">
        <v>14</v>
      </c>
      <c r="B520" t="s">
        <v>61</v>
      </c>
      <c r="E520">
        <v>157.32333333333332</v>
      </c>
    </row>
    <row r="521" spans="1:5" x14ac:dyDescent="0.35">
      <c r="A521" t="s">
        <v>14</v>
      </c>
      <c r="B521" t="s">
        <v>62</v>
      </c>
      <c r="E521">
        <v>151.54999999999995</v>
      </c>
    </row>
    <row r="522" spans="1:5" x14ac:dyDescent="0.35">
      <c r="A522" t="s">
        <v>14</v>
      </c>
      <c r="B522" t="s">
        <v>63</v>
      </c>
      <c r="E522">
        <v>148.6633333333333</v>
      </c>
    </row>
    <row r="523" spans="1:5" x14ac:dyDescent="0.35">
      <c r="A523" t="s">
        <v>14</v>
      </c>
      <c r="B523" t="s">
        <v>64</v>
      </c>
      <c r="E523">
        <v>145.7766666666667</v>
      </c>
    </row>
    <row r="524" spans="1:5" x14ac:dyDescent="0.35">
      <c r="A524" t="s">
        <v>14</v>
      </c>
      <c r="B524" t="s">
        <v>65</v>
      </c>
      <c r="E524">
        <v>141.44666666666666</v>
      </c>
    </row>
    <row r="525" spans="1:5" x14ac:dyDescent="0.35">
      <c r="A525" t="s">
        <v>14</v>
      </c>
      <c r="B525" t="s">
        <v>66</v>
      </c>
      <c r="E525">
        <v>135.67333333333329</v>
      </c>
    </row>
    <row r="526" spans="1:5" x14ac:dyDescent="0.35">
      <c r="A526" t="s">
        <v>14</v>
      </c>
      <c r="B526" t="s">
        <v>47</v>
      </c>
      <c r="E526">
        <v>938.65605804368261</v>
      </c>
    </row>
    <row r="527" spans="1:5" x14ac:dyDescent="0.35">
      <c r="A527" t="s">
        <v>15</v>
      </c>
      <c r="B527" t="s">
        <v>72</v>
      </c>
      <c r="E527">
        <v>13.600000000000001</v>
      </c>
    </row>
    <row r="528" spans="1:5" x14ac:dyDescent="0.35">
      <c r="A528" t="s">
        <v>15</v>
      </c>
      <c r="B528" t="s">
        <v>61</v>
      </c>
      <c r="E528">
        <v>37.06</v>
      </c>
    </row>
    <row r="529" spans="1:5" x14ac:dyDescent="0.35">
      <c r="A529" t="s">
        <v>15</v>
      </c>
      <c r="B529" t="s">
        <v>62</v>
      </c>
      <c r="E529">
        <v>35.700000000000003</v>
      </c>
    </row>
    <row r="530" spans="1:5" x14ac:dyDescent="0.35">
      <c r="A530" t="s">
        <v>15</v>
      </c>
      <c r="B530" t="s">
        <v>63</v>
      </c>
      <c r="E530">
        <v>35.02000000000001</v>
      </c>
    </row>
    <row r="531" spans="1:5" x14ac:dyDescent="0.35">
      <c r="A531" t="s">
        <v>15</v>
      </c>
      <c r="B531" t="s">
        <v>64</v>
      </c>
      <c r="E531">
        <v>34.340000000000003</v>
      </c>
    </row>
    <row r="532" spans="1:5" x14ac:dyDescent="0.35">
      <c r="A532" t="s">
        <v>15</v>
      </c>
      <c r="B532" t="s">
        <v>65</v>
      </c>
      <c r="E532">
        <v>33.319999999999993</v>
      </c>
    </row>
    <row r="533" spans="1:5" x14ac:dyDescent="0.35">
      <c r="A533" t="s">
        <v>15</v>
      </c>
      <c r="B533" t="s">
        <v>66</v>
      </c>
      <c r="E533">
        <v>31.960000000000008</v>
      </c>
    </row>
    <row r="534" spans="1:5" x14ac:dyDescent="0.35">
      <c r="A534" t="s">
        <v>15</v>
      </c>
      <c r="B534" t="s">
        <v>47</v>
      </c>
      <c r="E534">
        <v>221.14673841210106</v>
      </c>
    </row>
    <row r="535" spans="1:5" x14ac:dyDescent="0.35">
      <c r="A535" t="s">
        <v>16</v>
      </c>
      <c r="B535" t="s">
        <v>72</v>
      </c>
      <c r="E535">
        <v>144.13333333333338</v>
      </c>
    </row>
    <row r="536" spans="1:5" x14ac:dyDescent="0.35">
      <c r="A536" t="s">
        <v>16</v>
      </c>
      <c r="B536" t="s">
        <v>61</v>
      </c>
      <c r="E536">
        <v>392.76333333333332</v>
      </c>
    </row>
    <row r="537" spans="1:5" x14ac:dyDescent="0.35">
      <c r="A537" t="s">
        <v>16</v>
      </c>
      <c r="B537" t="s">
        <v>62</v>
      </c>
      <c r="E537">
        <v>378.34999999999991</v>
      </c>
    </row>
    <row r="538" spans="1:5" x14ac:dyDescent="0.35">
      <c r="A538" t="s">
        <v>16</v>
      </c>
      <c r="B538" t="s">
        <v>63</v>
      </c>
      <c r="E538">
        <v>371.14333333333343</v>
      </c>
    </row>
    <row r="539" spans="1:5" x14ac:dyDescent="0.35">
      <c r="A539" t="s">
        <v>16</v>
      </c>
      <c r="B539" t="s">
        <v>64</v>
      </c>
      <c r="E539">
        <v>363.93666666666672</v>
      </c>
    </row>
    <row r="540" spans="1:5" x14ac:dyDescent="0.35">
      <c r="A540" t="s">
        <v>16</v>
      </c>
      <c r="B540" t="s">
        <v>65</v>
      </c>
      <c r="E540">
        <v>353.12666666666678</v>
      </c>
    </row>
    <row r="541" spans="1:5" x14ac:dyDescent="0.35">
      <c r="A541" t="s">
        <v>16</v>
      </c>
      <c r="B541" t="s">
        <v>66</v>
      </c>
      <c r="E541">
        <v>338.71333333333325</v>
      </c>
    </row>
    <row r="542" spans="1:5" x14ac:dyDescent="0.35">
      <c r="A542" t="s">
        <v>16</v>
      </c>
      <c r="B542" t="s">
        <v>47</v>
      </c>
      <c r="E542">
        <v>2341.3236414823396</v>
      </c>
    </row>
    <row r="543" spans="1:5" x14ac:dyDescent="0.35">
      <c r="A543" t="s">
        <v>17</v>
      </c>
      <c r="B543" t="s">
        <v>72</v>
      </c>
      <c r="E543">
        <v>9.466666666666665</v>
      </c>
    </row>
    <row r="544" spans="1:5" x14ac:dyDescent="0.35">
      <c r="A544" t="s">
        <v>17</v>
      </c>
      <c r="B544" t="s">
        <v>61</v>
      </c>
      <c r="E544">
        <v>25.796666666666667</v>
      </c>
    </row>
    <row r="545" spans="1:5" x14ac:dyDescent="0.35">
      <c r="A545" t="s">
        <v>17</v>
      </c>
      <c r="B545" t="s">
        <v>62</v>
      </c>
      <c r="E545">
        <v>24.850000000000009</v>
      </c>
    </row>
    <row r="546" spans="1:5" x14ac:dyDescent="0.35">
      <c r="A546" t="s">
        <v>17</v>
      </c>
      <c r="B546" t="s">
        <v>63</v>
      </c>
      <c r="E546">
        <v>24.376666666666665</v>
      </c>
    </row>
    <row r="547" spans="1:5" x14ac:dyDescent="0.35">
      <c r="A547" t="s">
        <v>17</v>
      </c>
      <c r="B547" t="s">
        <v>64</v>
      </c>
      <c r="E547">
        <v>23.903333333333336</v>
      </c>
    </row>
    <row r="548" spans="1:5" x14ac:dyDescent="0.35">
      <c r="A548" t="s">
        <v>17</v>
      </c>
      <c r="B548" t="s">
        <v>65</v>
      </c>
      <c r="E548">
        <v>23.193333333333328</v>
      </c>
    </row>
    <row r="549" spans="1:5" x14ac:dyDescent="0.35">
      <c r="A549" t="s">
        <v>17</v>
      </c>
      <c r="B549" t="s">
        <v>66</v>
      </c>
      <c r="E549">
        <v>22.24666666666667</v>
      </c>
    </row>
    <row r="550" spans="1:5" x14ac:dyDescent="0.35">
      <c r="A550" t="s">
        <v>17</v>
      </c>
      <c r="B550" t="s">
        <v>47</v>
      </c>
      <c r="E550">
        <v>154.55884279212142</v>
      </c>
    </row>
    <row r="551" spans="1:5" x14ac:dyDescent="0.35">
      <c r="A551" t="s">
        <v>18</v>
      </c>
      <c r="B551" t="s">
        <v>72</v>
      </c>
      <c r="E551">
        <v>13.600000000000001</v>
      </c>
    </row>
    <row r="552" spans="1:5" x14ac:dyDescent="0.35">
      <c r="A552" t="s">
        <v>18</v>
      </c>
      <c r="B552" t="s">
        <v>61</v>
      </c>
      <c r="E552">
        <v>37.06</v>
      </c>
    </row>
    <row r="553" spans="1:5" x14ac:dyDescent="0.35">
      <c r="A553" t="s">
        <v>18</v>
      </c>
      <c r="B553" t="s">
        <v>62</v>
      </c>
      <c r="E553">
        <v>35.700000000000003</v>
      </c>
    </row>
    <row r="554" spans="1:5" x14ac:dyDescent="0.35">
      <c r="A554" t="s">
        <v>18</v>
      </c>
      <c r="B554" t="s">
        <v>63</v>
      </c>
      <c r="E554">
        <v>35.02000000000001</v>
      </c>
    </row>
    <row r="555" spans="1:5" x14ac:dyDescent="0.35">
      <c r="A555" t="s">
        <v>18</v>
      </c>
      <c r="B555" t="s">
        <v>64</v>
      </c>
      <c r="E555">
        <v>34.340000000000003</v>
      </c>
    </row>
    <row r="556" spans="1:5" x14ac:dyDescent="0.35">
      <c r="A556" t="s">
        <v>18</v>
      </c>
      <c r="B556" t="s">
        <v>65</v>
      </c>
      <c r="E556">
        <v>33.319999999999993</v>
      </c>
    </row>
    <row r="557" spans="1:5" x14ac:dyDescent="0.35">
      <c r="A557" t="s">
        <v>18</v>
      </c>
      <c r="B557" t="s">
        <v>66</v>
      </c>
      <c r="E557">
        <v>31.960000000000008</v>
      </c>
    </row>
    <row r="558" spans="1:5" x14ac:dyDescent="0.35">
      <c r="A558" t="s">
        <v>18</v>
      </c>
      <c r="B558" t="s">
        <v>47</v>
      </c>
      <c r="E558">
        <v>221.39045559893418</v>
      </c>
    </row>
    <row r="559" spans="1:5" x14ac:dyDescent="0.35">
      <c r="A559" t="s">
        <v>19</v>
      </c>
      <c r="B559" t="s">
        <v>72</v>
      </c>
      <c r="E559">
        <v>1.333333333333333</v>
      </c>
    </row>
    <row r="560" spans="1:5" x14ac:dyDescent="0.35">
      <c r="A560" t="s">
        <v>19</v>
      </c>
      <c r="B560" t="s">
        <v>61</v>
      </c>
      <c r="E560">
        <v>3.6333333333333329</v>
      </c>
    </row>
    <row r="561" spans="1:5" x14ac:dyDescent="0.35">
      <c r="A561" t="s">
        <v>19</v>
      </c>
      <c r="B561" t="s">
        <v>62</v>
      </c>
      <c r="E561">
        <v>3.5</v>
      </c>
    </row>
    <row r="562" spans="1:5" x14ac:dyDescent="0.35">
      <c r="A562" t="s">
        <v>19</v>
      </c>
      <c r="B562" t="s">
        <v>63</v>
      </c>
      <c r="E562">
        <v>3.4333333333333336</v>
      </c>
    </row>
    <row r="563" spans="1:5" x14ac:dyDescent="0.35">
      <c r="A563" t="s">
        <v>19</v>
      </c>
      <c r="B563" t="s">
        <v>64</v>
      </c>
      <c r="E563">
        <v>3.3666666666666671</v>
      </c>
    </row>
    <row r="564" spans="1:5" x14ac:dyDescent="0.35">
      <c r="A564" t="s">
        <v>19</v>
      </c>
      <c r="B564" t="s">
        <v>65</v>
      </c>
      <c r="E564">
        <v>3.2666666666666675</v>
      </c>
    </row>
    <row r="565" spans="1:5" x14ac:dyDescent="0.35">
      <c r="A565" t="s">
        <v>19</v>
      </c>
      <c r="B565" t="s">
        <v>66</v>
      </c>
      <c r="E565">
        <v>3.1333333333333329</v>
      </c>
    </row>
    <row r="566" spans="1:5" x14ac:dyDescent="0.35">
      <c r="A566" t="s">
        <v>19</v>
      </c>
      <c r="B566" t="s">
        <v>47</v>
      </c>
      <c r="E566">
        <v>22.035836526198182</v>
      </c>
    </row>
    <row r="567" spans="1:5" x14ac:dyDescent="0.35">
      <c r="A567" t="s">
        <v>20</v>
      </c>
      <c r="B567" t="s">
        <v>72</v>
      </c>
      <c r="E567">
        <v>0.93333333333333313</v>
      </c>
    </row>
    <row r="568" spans="1:5" x14ac:dyDescent="0.35">
      <c r="A568" t="s">
        <v>20</v>
      </c>
      <c r="B568" t="s">
        <v>61</v>
      </c>
      <c r="E568">
        <v>2.5433333333333339</v>
      </c>
    </row>
    <row r="569" spans="1:5" x14ac:dyDescent="0.35">
      <c r="A569" t="s">
        <v>20</v>
      </c>
      <c r="B569" t="s">
        <v>62</v>
      </c>
      <c r="E569">
        <v>2.4499999999999993</v>
      </c>
    </row>
    <row r="570" spans="1:5" x14ac:dyDescent="0.35">
      <c r="A570" t="s">
        <v>20</v>
      </c>
      <c r="B570" t="s">
        <v>63</v>
      </c>
      <c r="E570">
        <v>2.4033333333333333</v>
      </c>
    </row>
    <row r="571" spans="1:5" x14ac:dyDescent="0.35">
      <c r="A571" t="s">
        <v>20</v>
      </c>
      <c r="B571" t="s">
        <v>64</v>
      </c>
      <c r="E571">
        <v>2.3566666666666674</v>
      </c>
    </row>
    <row r="572" spans="1:5" x14ac:dyDescent="0.35">
      <c r="A572" t="s">
        <v>20</v>
      </c>
      <c r="B572" t="s">
        <v>65</v>
      </c>
      <c r="E572">
        <v>2.2866666666666662</v>
      </c>
    </row>
    <row r="573" spans="1:5" x14ac:dyDescent="0.35">
      <c r="A573" t="s">
        <v>20</v>
      </c>
      <c r="B573" t="s">
        <v>66</v>
      </c>
      <c r="E573">
        <v>2.1933333333333334</v>
      </c>
    </row>
    <row r="574" spans="1:5" x14ac:dyDescent="0.35">
      <c r="A574" t="s">
        <v>20</v>
      </c>
      <c r="B574" t="s">
        <v>47</v>
      </c>
      <c r="E574">
        <v>15.166666666666664</v>
      </c>
    </row>
    <row r="575" spans="1:5" x14ac:dyDescent="0.35">
      <c r="A575" t="s">
        <v>21</v>
      </c>
      <c r="B575" t="s">
        <v>72</v>
      </c>
      <c r="E575">
        <v>14.799999999999997</v>
      </c>
    </row>
    <row r="576" spans="1:5" x14ac:dyDescent="0.35">
      <c r="A576" t="s">
        <v>21</v>
      </c>
      <c r="B576" t="s">
        <v>61</v>
      </c>
      <c r="E576">
        <v>40.330000000000013</v>
      </c>
    </row>
    <row r="577" spans="1:5" x14ac:dyDescent="0.35">
      <c r="A577" t="s">
        <v>21</v>
      </c>
      <c r="B577" t="s">
        <v>62</v>
      </c>
      <c r="E577">
        <v>38.849999999999994</v>
      </c>
    </row>
    <row r="578" spans="1:5" x14ac:dyDescent="0.35">
      <c r="A578" t="s">
        <v>21</v>
      </c>
      <c r="B578" t="s">
        <v>63</v>
      </c>
      <c r="E578">
        <v>38.11</v>
      </c>
    </row>
    <row r="579" spans="1:5" x14ac:dyDescent="0.35">
      <c r="A579" t="s">
        <v>21</v>
      </c>
      <c r="B579" t="s">
        <v>64</v>
      </c>
      <c r="E579">
        <v>37.36999999999999</v>
      </c>
    </row>
    <row r="580" spans="1:5" x14ac:dyDescent="0.35">
      <c r="A580" t="s">
        <v>21</v>
      </c>
      <c r="B580" t="s">
        <v>65</v>
      </c>
      <c r="E580">
        <v>36.259999999999991</v>
      </c>
    </row>
    <row r="581" spans="1:5" x14ac:dyDescent="0.35">
      <c r="A581" t="s">
        <v>21</v>
      </c>
      <c r="B581" t="s">
        <v>66</v>
      </c>
      <c r="E581">
        <v>34.78</v>
      </c>
    </row>
    <row r="582" spans="1:5" x14ac:dyDescent="0.35">
      <c r="A582" t="s">
        <v>21</v>
      </c>
      <c r="B582" t="s">
        <v>47</v>
      </c>
      <c r="E582">
        <v>240.17240832435482</v>
      </c>
    </row>
    <row r="583" spans="1:5" x14ac:dyDescent="0.35">
      <c r="A583" t="s">
        <v>22</v>
      </c>
      <c r="B583" t="s">
        <v>72</v>
      </c>
      <c r="E583">
        <v>234.66666666666663</v>
      </c>
    </row>
    <row r="584" spans="1:5" x14ac:dyDescent="0.35">
      <c r="A584" t="s">
        <v>22</v>
      </c>
      <c r="B584" t="s">
        <v>61</v>
      </c>
      <c r="E584">
        <v>639.46666666666647</v>
      </c>
    </row>
    <row r="585" spans="1:5" x14ac:dyDescent="0.35">
      <c r="A585" t="s">
        <v>22</v>
      </c>
      <c r="B585" t="s">
        <v>62</v>
      </c>
      <c r="E585">
        <v>616</v>
      </c>
    </row>
    <row r="586" spans="1:5" x14ac:dyDescent="0.35">
      <c r="A586" t="s">
        <v>22</v>
      </c>
      <c r="B586" t="s">
        <v>63</v>
      </c>
      <c r="E586">
        <v>604.26666666666665</v>
      </c>
    </row>
    <row r="587" spans="1:5" x14ac:dyDescent="0.35">
      <c r="A587" t="s">
        <v>22</v>
      </c>
      <c r="B587" t="s">
        <v>64</v>
      </c>
      <c r="E587">
        <v>592.5333333333333</v>
      </c>
    </row>
    <row r="588" spans="1:5" x14ac:dyDescent="0.35">
      <c r="A588" t="s">
        <v>22</v>
      </c>
      <c r="B588" t="s">
        <v>65</v>
      </c>
      <c r="E588">
        <v>574.93333333333317</v>
      </c>
    </row>
    <row r="589" spans="1:5" x14ac:dyDescent="0.35">
      <c r="A589" t="s">
        <v>22</v>
      </c>
      <c r="B589" t="s">
        <v>66</v>
      </c>
      <c r="E589">
        <v>551.46666666666647</v>
      </c>
    </row>
    <row r="590" spans="1:5" x14ac:dyDescent="0.35">
      <c r="A590" t="s">
        <v>22</v>
      </c>
      <c r="B590" t="s">
        <v>47</v>
      </c>
      <c r="E590">
        <v>3813.0088152150092</v>
      </c>
    </row>
    <row r="591" spans="1:5" x14ac:dyDescent="0.35">
      <c r="A591" t="s">
        <v>23</v>
      </c>
      <c r="B591" t="s">
        <v>72</v>
      </c>
      <c r="E591">
        <v>25.066666666666663</v>
      </c>
    </row>
    <row r="592" spans="1:5" x14ac:dyDescent="0.35">
      <c r="A592" t="s">
        <v>23</v>
      </c>
      <c r="B592" t="s">
        <v>61</v>
      </c>
      <c r="E592">
        <v>68.306666666666672</v>
      </c>
    </row>
    <row r="593" spans="1:5" x14ac:dyDescent="0.35">
      <c r="A593" t="s">
        <v>23</v>
      </c>
      <c r="B593" t="s">
        <v>62</v>
      </c>
      <c r="E593">
        <v>65.799999999999983</v>
      </c>
    </row>
    <row r="594" spans="1:5" x14ac:dyDescent="0.35">
      <c r="A594" t="s">
        <v>23</v>
      </c>
      <c r="B594" t="s">
        <v>63</v>
      </c>
      <c r="E594">
        <v>64.546666666666653</v>
      </c>
    </row>
    <row r="595" spans="1:5" x14ac:dyDescent="0.35">
      <c r="A595" t="s">
        <v>23</v>
      </c>
      <c r="B595" t="s">
        <v>64</v>
      </c>
      <c r="E595">
        <v>63.293333333333322</v>
      </c>
    </row>
    <row r="596" spans="1:5" x14ac:dyDescent="0.35">
      <c r="A596" t="s">
        <v>23</v>
      </c>
      <c r="B596" t="s">
        <v>65</v>
      </c>
      <c r="E596">
        <v>61.413333333333327</v>
      </c>
    </row>
    <row r="597" spans="1:5" x14ac:dyDescent="0.35">
      <c r="A597" t="s">
        <v>23</v>
      </c>
      <c r="B597" t="s">
        <v>66</v>
      </c>
      <c r="E597">
        <v>58.906666666666666</v>
      </c>
    </row>
    <row r="598" spans="1:5" x14ac:dyDescent="0.35">
      <c r="A598" t="s">
        <v>23</v>
      </c>
      <c r="B598" t="s">
        <v>47</v>
      </c>
      <c r="E598">
        <v>407.71800577939007</v>
      </c>
    </row>
    <row r="599" spans="1:5" x14ac:dyDescent="0.35">
      <c r="A599" t="s">
        <v>24</v>
      </c>
      <c r="B599" t="s">
        <v>72</v>
      </c>
      <c r="E599">
        <v>123.33333333333331</v>
      </c>
    </row>
    <row r="600" spans="1:5" x14ac:dyDescent="0.35">
      <c r="A600" t="s">
        <v>24</v>
      </c>
      <c r="B600" t="s">
        <v>61</v>
      </c>
      <c r="E600">
        <v>336.08333333333326</v>
      </c>
    </row>
    <row r="601" spans="1:5" x14ac:dyDescent="0.35">
      <c r="A601" t="s">
        <v>24</v>
      </c>
      <c r="B601" t="s">
        <v>62</v>
      </c>
      <c r="E601">
        <v>323.75</v>
      </c>
    </row>
    <row r="602" spans="1:5" x14ac:dyDescent="0.35">
      <c r="A602" t="s">
        <v>24</v>
      </c>
      <c r="B602" t="s">
        <v>63</v>
      </c>
      <c r="E602">
        <v>317.58333333333326</v>
      </c>
    </row>
    <row r="603" spans="1:5" x14ac:dyDescent="0.35">
      <c r="A603" t="s">
        <v>24</v>
      </c>
      <c r="B603" t="s">
        <v>64</v>
      </c>
      <c r="E603">
        <v>311.41666666666674</v>
      </c>
    </row>
    <row r="604" spans="1:5" x14ac:dyDescent="0.35">
      <c r="A604" t="s">
        <v>24</v>
      </c>
      <c r="B604" t="s">
        <v>65</v>
      </c>
      <c r="E604">
        <v>302.16666666666674</v>
      </c>
    </row>
    <row r="605" spans="1:5" x14ac:dyDescent="0.35">
      <c r="A605" t="s">
        <v>24</v>
      </c>
      <c r="B605" t="s">
        <v>66</v>
      </c>
      <c r="E605">
        <v>289.83333333333326</v>
      </c>
    </row>
    <row r="606" spans="1:5" x14ac:dyDescent="0.35">
      <c r="A606" t="s">
        <v>24</v>
      </c>
      <c r="B606" t="s">
        <v>47</v>
      </c>
      <c r="E606">
        <v>2004.2257630993099</v>
      </c>
    </row>
    <row r="607" spans="1:5" x14ac:dyDescent="0.35">
      <c r="A607" t="s">
        <v>25</v>
      </c>
      <c r="B607" t="s">
        <v>72</v>
      </c>
      <c r="E607">
        <v>31.333333333333329</v>
      </c>
    </row>
    <row r="608" spans="1:5" x14ac:dyDescent="0.35">
      <c r="A608" t="s">
        <v>25</v>
      </c>
      <c r="B608" t="s">
        <v>61</v>
      </c>
      <c r="E608">
        <v>85.383333333333326</v>
      </c>
    </row>
    <row r="609" spans="1:5" x14ac:dyDescent="0.35">
      <c r="A609" t="s">
        <v>25</v>
      </c>
      <c r="B609" t="s">
        <v>62</v>
      </c>
      <c r="E609">
        <v>82.25</v>
      </c>
    </row>
    <row r="610" spans="1:5" x14ac:dyDescent="0.35">
      <c r="A610" t="s">
        <v>25</v>
      </c>
      <c r="B610" t="s">
        <v>63</v>
      </c>
      <c r="E610">
        <v>80.683333333333337</v>
      </c>
    </row>
    <row r="611" spans="1:5" x14ac:dyDescent="0.35">
      <c r="A611" t="s">
        <v>25</v>
      </c>
      <c r="B611" t="s">
        <v>64</v>
      </c>
      <c r="E611">
        <v>79.116666666666646</v>
      </c>
    </row>
    <row r="612" spans="1:5" x14ac:dyDescent="0.35">
      <c r="A612" t="s">
        <v>25</v>
      </c>
      <c r="B612" t="s">
        <v>65</v>
      </c>
      <c r="E612">
        <v>76.766666666666652</v>
      </c>
    </row>
    <row r="613" spans="1:5" x14ac:dyDescent="0.35">
      <c r="A613" t="s">
        <v>25</v>
      </c>
      <c r="B613" t="s">
        <v>66</v>
      </c>
      <c r="E613">
        <v>73.633333333333354</v>
      </c>
    </row>
    <row r="614" spans="1:5" x14ac:dyDescent="0.35">
      <c r="A614" t="s">
        <v>25</v>
      </c>
      <c r="B614" t="s">
        <v>47</v>
      </c>
      <c r="E614">
        <v>510.18435812371217</v>
      </c>
    </row>
    <row r="615" spans="1:5" x14ac:dyDescent="0.35">
      <c r="A615" t="s">
        <v>26</v>
      </c>
      <c r="B615" t="s">
        <v>72</v>
      </c>
      <c r="E615">
        <v>7.3333333333333321</v>
      </c>
    </row>
    <row r="616" spans="1:5" x14ac:dyDescent="0.35">
      <c r="A616" t="s">
        <v>26</v>
      </c>
      <c r="B616" t="s">
        <v>61</v>
      </c>
      <c r="E616">
        <v>19.983333333333327</v>
      </c>
    </row>
    <row r="617" spans="1:5" x14ac:dyDescent="0.35">
      <c r="A617" t="s">
        <v>26</v>
      </c>
      <c r="B617" t="s">
        <v>62</v>
      </c>
      <c r="E617">
        <v>19.25</v>
      </c>
    </row>
    <row r="618" spans="1:5" x14ac:dyDescent="0.35">
      <c r="A618" t="s">
        <v>26</v>
      </c>
      <c r="B618" t="s">
        <v>63</v>
      </c>
      <c r="E618">
        <v>18.883333333333333</v>
      </c>
    </row>
    <row r="619" spans="1:5" x14ac:dyDescent="0.35">
      <c r="A619" t="s">
        <v>26</v>
      </c>
      <c r="B619" t="s">
        <v>64</v>
      </c>
      <c r="E619">
        <v>18.516666666666666</v>
      </c>
    </row>
    <row r="620" spans="1:5" x14ac:dyDescent="0.35">
      <c r="A620" t="s">
        <v>26</v>
      </c>
      <c r="B620" t="s">
        <v>65</v>
      </c>
      <c r="E620">
        <v>17.966666666666661</v>
      </c>
    </row>
    <row r="621" spans="1:5" x14ac:dyDescent="0.35">
      <c r="A621" t="s">
        <v>26</v>
      </c>
      <c r="B621" t="s">
        <v>66</v>
      </c>
      <c r="E621">
        <v>17.233333333333327</v>
      </c>
    </row>
    <row r="622" spans="1:5" x14ac:dyDescent="0.35">
      <c r="A622" t="s">
        <v>26</v>
      </c>
      <c r="B622" t="s">
        <v>47</v>
      </c>
      <c r="E622">
        <v>119.24882917782764</v>
      </c>
    </row>
    <row r="623" spans="1:5" x14ac:dyDescent="0.35">
      <c r="A623" t="s">
        <v>27</v>
      </c>
      <c r="B623" t="s">
        <v>72</v>
      </c>
      <c r="E623">
        <v>140.26666666666671</v>
      </c>
    </row>
    <row r="624" spans="1:5" x14ac:dyDescent="0.35">
      <c r="A624" t="s">
        <v>27</v>
      </c>
      <c r="B624" t="s">
        <v>61</v>
      </c>
      <c r="E624">
        <v>382.22666666666669</v>
      </c>
    </row>
    <row r="625" spans="1:5" x14ac:dyDescent="0.35">
      <c r="A625" t="s">
        <v>27</v>
      </c>
      <c r="B625" t="s">
        <v>62</v>
      </c>
      <c r="E625">
        <v>368.20000000000005</v>
      </c>
    </row>
    <row r="626" spans="1:5" x14ac:dyDescent="0.35">
      <c r="A626" t="s">
        <v>27</v>
      </c>
      <c r="B626" t="s">
        <v>63</v>
      </c>
      <c r="E626">
        <v>361.18666666666672</v>
      </c>
    </row>
    <row r="627" spans="1:5" x14ac:dyDescent="0.35">
      <c r="A627" t="s">
        <v>27</v>
      </c>
      <c r="B627" t="s">
        <v>64</v>
      </c>
      <c r="E627">
        <v>354.1733333333334</v>
      </c>
    </row>
    <row r="628" spans="1:5" x14ac:dyDescent="0.35">
      <c r="A628" t="s">
        <v>27</v>
      </c>
      <c r="B628" t="s">
        <v>65</v>
      </c>
      <c r="E628">
        <v>343.65333333333342</v>
      </c>
    </row>
    <row r="629" spans="1:5" x14ac:dyDescent="0.35">
      <c r="A629" t="s">
        <v>27</v>
      </c>
      <c r="B629" t="s">
        <v>66</v>
      </c>
      <c r="E629">
        <v>329.62666666666667</v>
      </c>
    </row>
    <row r="630" spans="1:5" x14ac:dyDescent="0.35">
      <c r="A630" t="s">
        <v>27</v>
      </c>
      <c r="B630" t="s">
        <v>47</v>
      </c>
      <c r="E630">
        <v>2279.2615435396601</v>
      </c>
    </row>
    <row r="631" spans="1:5" x14ac:dyDescent="0.35">
      <c r="A631" t="s">
        <v>28</v>
      </c>
      <c r="B631" t="s">
        <v>72</v>
      </c>
      <c r="E631">
        <v>8.2666666666666693</v>
      </c>
    </row>
    <row r="632" spans="1:5" x14ac:dyDescent="0.35">
      <c r="A632" t="s">
        <v>28</v>
      </c>
      <c r="B632" t="s">
        <v>61</v>
      </c>
      <c r="E632">
        <v>22.526666666666671</v>
      </c>
    </row>
    <row r="633" spans="1:5" x14ac:dyDescent="0.35">
      <c r="A633" t="s">
        <v>28</v>
      </c>
      <c r="B633" t="s">
        <v>62</v>
      </c>
      <c r="E633">
        <v>21.700000000000003</v>
      </c>
    </row>
    <row r="634" spans="1:5" x14ac:dyDescent="0.35">
      <c r="A634" t="s">
        <v>28</v>
      </c>
      <c r="B634" t="s">
        <v>63</v>
      </c>
      <c r="E634">
        <v>21.286666666666662</v>
      </c>
    </row>
    <row r="635" spans="1:5" x14ac:dyDescent="0.35">
      <c r="A635" t="s">
        <v>28</v>
      </c>
      <c r="B635" t="s">
        <v>64</v>
      </c>
      <c r="E635">
        <v>20.873333333333328</v>
      </c>
    </row>
    <row r="636" spans="1:5" x14ac:dyDescent="0.35">
      <c r="A636" t="s">
        <v>28</v>
      </c>
      <c r="B636" t="s">
        <v>65</v>
      </c>
      <c r="E636">
        <v>20.253333333333337</v>
      </c>
    </row>
    <row r="637" spans="1:5" x14ac:dyDescent="0.35">
      <c r="A637" t="s">
        <v>28</v>
      </c>
      <c r="B637" t="s">
        <v>66</v>
      </c>
      <c r="E637">
        <v>19.426666666666662</v>
      </c>
    </row>
    <row r="638" spans="1:5" x14ac:dyDescent="0.35">
      <c r="A638" t="s">
        <v>28</v>
      </c>
      <c r="B638" t="s">
        <v>47</v>
      </c>
      <c r="E638">
        <v>133.47207701346179</v>
      </c>
    </row>
    <row r="639" spans="1:5" x14ac:dyDescent="0.35">
      <c r="A639" t="s">
        <v>29</v>
      </c>
      <c r="B639" t="s">
        <v>72</v>
      </c>
      <c r="E639">
        <v>1337.8666666666663</v>
      </c>
    </row>
    <row r="640" spans="1:5" x14ac:dyDescent="0.35">
      <c r="A640" t="s">
        <v>29</v>
      </c>
      <c r="B640" t="s">
        <v>61</v>
      </c>
      <c r="E640">
        <v>3645.6866666666665</v>
      </c>
    </row>
    <row r="641" spans="1:6" x14ac:dyDescent="0.35">
      <c r="A641" t="s">
        <v>29</v>
      </c>
      <c r="B641" t="s">
        <v>62</v>
      </c>
      <c r="E641">
        <v>3511.8999999999996</v>
      </c>
    </row>
    <row r="642" spans="1:6" x14ac:dyDescent="0.35">
      <c r="A642" t="s">
        <v>29</v>
      </c>
      <c r="B642" t="s">
        <v>63</v>
      </c>
      <c r="E642">
        <v>3445.0066666666671</v>
      </c>
    </row>
    <row r="643" spans="1:6" x14ac:dyDescent="0.35">
      <c r="A643" t="s">
        <v>29</v>
      </c>
      <c r="B643" t="s">
        <v>64</v>
      </c>
      <c r="E643">
        <v>3378.1133333333341</v>
      </c>
    </row>
    <row r="644" spans="1:6" x14ac:dyDescent="0.35">
      <c r="A644" t="s">
        <v>29</v>
      </c>
      <c r="B644" t="s">
        <v>65</v>
      </c>
      <c r="E644">
        <v>3277.7733333333331</v>
      </c>
    </row>
    <row r="645" spans="1:6" x14ac:dyDescent="0.35">
      <c r="A645" t="s">
        <v>29</v>
      </c>
      <c r="B645" t="s">
        <v>66</v>
      </c>
      <c r="E645">
        <v>3143.9866666666653</v>
      </c>
    </row>
    <row r="646" spans="1:6" x14ac:dyDescent="0.35">
      <c r="A646" t="s">
        <v>29</v>
      </c>
      <c r="B646" t="s">
        <v>47</v>
      </c>
      <c r="E646">
        <v>21666.666666666661</v>
      </c>
    </row>
    <row r="647" spans="1:6" x14ac:dyDescent="0.35">
      <c r="A647" t="s">
        <v>2</v>
      </c>
      <c r="B647" t="s">
        <v>72</v>
      </c>
      <c r="F647">
        <v>47.466666666666669</v>
      </c>
    </row>
    <row r="648" spans="1:6" x14ac:dyDescent="0.35">
      <c r="A648" t="s">
        <v>2</v>
      </c>
      <c r="B648" t="s">
        <v>61</v>
      </c>
      <c r="F648">
        <v>129.34666666666666</v>
      </c>
    </row>
    <row r="649" spans="1:6" x14ac:dyDescent="0.35">
      <c r="A649" t="s">
        <v>2</v>
      </c>
      <c r="B649" t="s">
        <v>62</v>
      </c>
      <c r="F649">
        <v>124.60000000000001</v>
      </c>
    </row>
    <row r="650" spans="1:6" x14ac:dyDescent="0.35">
      <c r="A650" t="s">
        <v>2</v>
      </c>
      <c r="B650" t="s">
        <v>63</v>
      </c>
      <c r="F650">
        <v>122.22666666666667</v>
      </c>
    </row>
    <row r="651" spans="1:6" x14ac:dyDescent="0.35">
      <c r="A651" t="s">
        <v>2</v>
      </c>
      <c r="B651" t="s">
        <v>64</v>
      </c>
      <c r="F651">
        <v>119.85333333333334</v>
      </c>
    </row>
    <row r="652" spans="1:6" x14ac:dyDescent="0.35">
      <c r="A652" t="s">
        <v>2</v>
      </c>
      <c r="B652" t="s">
        <v>65</v>
      </c>
      <c r="F652">
        <v>116.29333333333334</v>
      </c>
    </row>
    <row r="653" spans="1:6" x14ac:dyDescent="0.35">
      <c r="A653" t="s">
        <v>2</v>
      </c>
      <c r="B653" t="s">
        <v>66</v>
      </c>
      <c r="F653">
        <v>111.54666666666667</v>
      </c>
    </row>
    <row r="654" spans="1:6" x14ac:dyDescent="0.35">
      <c r="A654" t="s">
        <v>2</v>
      </c>
      <c r="B654" t="s">
        <v>47</v>
      </c>
      <c r="F654">
        <v>771.97233768972671</v>
      </c>
    </row>
    <row r="655" spans="1:6" x14ac:dyDescent="0.35">
      <c r="A655" t="s">
        <v>2</v>
      </c>
      <c r="B655" t="s">
        <v>46</v>
      </c>
      <c r="F655">
        <v>0</v>
      </c>
    </row>
    <row r="656" spans="1:6" x14ac:dyDescent="0.35">
      <c r="A656" t="s">
        <v>3</v>
      </c>
      <c r="B656" t="s">
        <v>72</v>
      </c>
      <c r="F656">
        <v>136</v>
      </c>
    </row>
    <row r="657" spans="1:6" x14ac:dyDescent="0.35">
      <c r="A657" t="s">
        <v>3</v>
      </c>
      <c r="B657" t="s">
        <v>61</v>
      </c>
      <c r="F657">
        <v>370.59999999999997</v>
      </c>
    </row>
    <row r="658" spans="1:6" x14ac:dyDescent="0.35">
      <c r="A658" t="s">
        <v>3</v>
      </c>
      <c r="B658" t="s">
        <v>62</v>
      </c>
      <c r="F658">
        <v>357</v>
      </c>
    </row>
    <row r="659" spans="1:6" x14ac:dyDescent="0.35">
      <c r="A659" t="s">
        <v>3</v>
      </c>
      <c r="B659" t="s">
        <v>63</v>
      </c>
      <c r="F659">
        <v>350.2</v>
      </c>
    </row>
    <row r="660" spans="1:6" x14ac:dyDescent="0.35">
      <c r="A660" t="s">
        <v>3</v>
      </c>
      <c r="B660" t="s">
        <v>64</v>
      </c>
      <c r="F660">
        <v>343.40000000000003</v>
      </c>
    </row>
    <row r="661" spans="1:6" x14ac:dyDescent="0.35">
      <c r="A661" t="s">
        <v>3</v>
      </c>
      <c r="B661" t="s">
        <v>65</v>
      </c>
      <c r="F661">
        <v>333.2</v>
      </c>
    </row>
    <row r="662" spans="1:6" x14ac:dyDescent="0.35">
      <c r="A662" t="s">
        <v>3</v>
      </c>
      <c r="B662" t="s">
        <v>66</v>
      </c>
      <c r="F662">
        <v>319.59999999999997</v>
      </c>
    </row>
    <row r="663" spans="1:6" x14ac:dyDescent="0.35">
      <c r="A663" t="s">
        <v>3</v>
      </c>
      <c r="B663" t="s">
        <v>47</v>
      </c>
      <c r="F663">
        <v>2212.9731684524363</v>
      </c>
    </row>
    <row r="664" spans="1:6" x14ac:dyDescent="0.35">
      <c r="A664" t="s">
        <v>3</v>
      </c>
      <c r="B664" t="s">
        <v>46</v>
      </c>
      <c r="F664">
        <v>0</v>
      </c>
    </row>
    <row r="665" spans="1:6" x14ac:dyDescent="0.35">
      <c r="A665" t="s">
        <v>4</v>
      </c>
      <c r="B665" t="s">
        <v>72</v>
      </c>
      <c r="F665">
        <v>205.33333333333334</v>
      </c>
    </row>
    <row r="666" spans="1:6" x14ac:dyDescent="0.35">
      <c r="A666" t="s">
        <v>4</v>
      </c>
      <c r="B666" t="s">
        <v>61</v>
      </c>
      <c r="F666">
        <v>559.5333333333333</v>
      </c>
    </row>
    <row r="667" spans="1:6" x14ac:dyDescent="0.35">
      <c r="A667" t="s">
        <v>4</v>
      </c>
      <c r="B667" t="s">
        <v>62</v>
      </c>
      <c r="F667">
        <v>539</v>
      </c>
    </row>
    <row r="668" spans="1:6" x14ac:dyDescent="0.35">
      <c r="A668" t="s">
        <v>4</v>
      </c>
      <c r="B668" t="s">
        <v>63</v>
      </c>
      <c r="F668">
        <v>528.73333333333335</v>
      </c>
    </row>
    <row r="669" spans="1:6" x14ac:dyDescent="0.35">
      <c r="A669" t="s">
        <v>4</v>
      </c>
      <c r="B669" t="s">
        <v>64</v>
      </c>
      <c r="F669">
        <v>518.4666666666667</v>
      </c>
    </row>
    <row r="670" spans="1:6" x14ac:dyDescent="0.35">
      <c r="A670" t="s">
        <v>4</v>
      </c>
      <c r="B670" t="s">
        <v>65</v>
      </c>
      <c r="F670">
        <v>503.06666666666666</v>
      </c>
    </row>
    <row r="671" spans="1:6" x14ac:dyDescent="0.35">
      <c r="A671" t="s">
        <v>4</v>
      </c>
      <c r="B671" t="s">
        <v>66</v>
      </c>
      <c r="F671">
        <v>482.5333333333333</v>
      </c>
    </row>
    <row r="672" spans="1:6" x14ac:dyDescent="0.35">
      <c r="A672" t="s">
        <v>4</v>
      </c>
      <c r="B672" t="s">
        <v>47</v>
      </c>
      <c r="F672">
        <v>3332.6537070774662</v>
      </c>
    </row>
    <row r="673" spans="1:6" x14ac:dyDescent="0.35">
      <c r="A673" t="s">
        <v>4</v>
      </c>
      <c r="B673" t="s">
        <v>46</v>
      </c>
      <c r="F673">
        <v>0</v>
      </c>
    </row>
    <row r="674" spans="1:6" x14ac:dyDescent="0.35">
      <c r="A674" t="s">
        <v>5</v>
      </c>
      <c r="B674" t="s">
        <v>72</v>
      </c>
      <c r="F674">
        <v>103.46666666666668</v>
      </c>
    </row>
    <row r="675" spans="1:6" x14ac:dyDescent="0.35">
      <c r="A675" t="s">
        <v>5</v>
      </c>
      <c r="B675" t="s">
        <v>61</v>
      </c>
      <c r="F675">
        <v>281.94666666666666</v>
      </c>
    </row>
    <row r="676" spans="1:6" x14ac:dyDescent="0.35">
      <c r="A676" t="s">
        <v>5</v>
      </c>
      <c r="B676" t="s">
        <v>62</v>
      </c>
      <c r="F676">
        <v>271.60000000000002</v>
      </c>
    </row>
    <row r="677" spans="1:6" x14ac:dyDescent="0.35">
      <c r="A677" t="s">
        <v>5</v>
      </c>
      <c r="B677" t="s">
        <v>63</v>
      </c>
      <c r="F677">
        <v>266.42666666666668</v>
      </c>
    </row>
    <row r="678" spans="1:6" x14ac:dyDescent="0.35">
      <c r="A678" t="s">
        <v>5</v>
      </c>
      <c r="B678" t="s">
        <v>64</v>
      </c>
      <c r="F678">
        <v>261.25333333333333</v>
      </c>
    </row>
    <row r="679" spans="1:6" x14ac:dyDescent="0.35">
      <c r="A679" t="s">
        <v>5</v>
      </c>
      <c r="B679" t="s">
        <v>65</v>
      </c>
      <c r="F679">
        <v>253.49333333333334</v>
      </c>
    </row>
    <row r="680" spans="1:6" x14ac:dyDescent="0.35">
      <c r="A680" t="s">
        <v>5</v>
      </c>
      <c r="B680" t="s">
        <v>66</v>
      </c>
      <c r="F680">
        <v>243.14666666666668</v>
      </c>
    </row>
    <row r="681" spans="1:6" x14ac:dyDescent="0.35">
      <c r="A681" t="s">
        <v>5</v>
      </c>
      <c r="B681" t="s">
        <v>47</v>
      </c>
      <c r="F681">
        <v>1684.0958653660925</v>
      </c>
    </row>
    <row r="682" spans="1:6" x14ac:dyDescent="0.35">
      <c r="A682" t="s">
        <v>5</v>
      </c>
      <c r="B682" t="s">
        <v>46</v>
      </c>
      <c r="F682">
        <v>0</v>
      </c>
    </row>
    <row r="683" spans="1:6" x14ac:dyDescent="0.35">
      <c r="A683" t="s">
        <v>6</v>
      </c>
      <c r="B683" t="s">
        <v>72</v>
      </c>
      <c r="F683">
        <v>10.666666666666666</v>
      </c>
    </row>
    <row r="684" spans="1:6" x14ac:dyDescent="0.35">
      <c r="A684" t="s">
        <v>6</v>
      </c>
      <c r="B684" t="s">
        <v>61</v>
      </c>
      <c r="F684">
        <v>29.066666666666666</v>
      </c>
    </row>
    <row r="685" spans="1:6" x14ac:dyDescent="0.35">
      <c r="A685" t="s">
        <v>6</v>
      </c>
      <c r="B685" t="s">
        <v>62</v>
      </c>
      <c r="F685">
        <v>28</v>
      </c>
    </row>
    <row r="686" spans="1:6" x14ac:dyDescent="0.35">
      <c r="A686" t="s">
        <v>6</v>
      </c>
      <c r="B686" t="s">
        <v>63</v>
      </c>
      <c r="F686">
        <v>27.466666666666669</v>
      </c>
    </row>
    <row r="687" spans="1:6" x14ac:dyDescent="0.35">
      <c r="A687" t="s">
        <v>6</v>
      </c>
      <c r="B687" t="s">
        <v>64</v>
      </c>
      <c r="F687">
        <v>26.933333333333334</v>
      </c>
    </row>
    <row r="688" spans="1:6" x14ac:dyDescent="0.35">
      <c r="A688" t="s">
        <v>6</v>
      </c>
      <c r="B688" t="s">
        <v>65</v>
      </c>
      <c r="F688">
        <v>26.133333333333336</v>
      </c>
    </row>
    <row r="689" spans="1:6" x14ac:dyDescent="0.35">
      <c r="A689" t="s">
        <v>6</v>
      </c>
      <c r="B689" t="s">
        <v>66</v>
      </c>
      <c r="F689">
        <v>25.066666666666666</v>
      </c>
    </row>
    <row r="690" spans="1:6" x14ac:dyDescent="0.35">
      <c r="A690" t="s">
        <v>6</v>
      </c>
      <c r="B690" t="s">
        <v>47</v>
      </c>
      <c r="F690">
        <v>174.83054310860223</v>
      </c>
    </row>
    <row r="691" spans="1:6" x14ac:dyDescent="0.35">
      <c r="A691" t="s">
        <v>6</v>
      </c>
      <c r="B691" t="s">
        <v>46</v>
      </c>
      <c r="F691">
        <v>0</v>
      </c>
    </row>
    <row r="692" spans="1:6" x14ac:dyDescent="0.35">
      <c r="A692" t="s">
        <v>7</v>
      </c>
      <c r="B692" t="s">
        <v>72</v>
      </c>
      <c r="F692">
        <v>128</v>
      </c>
    </row>
    <row r="693" spans="1:6" x14ac:dyDescent="0.35">
      <c r="A693" t="s">
        <v>7</v>
      </c>
      <c r="B693" t="s">
        <v>61</v>
      </c>
      <c r="F693">
        <v>348.8</v>
      </c>
    </row>
    <row r="694" spans="1:6" x14ac:dyDescent="0.35">
      <c r="A694" t="s">
        <v>7</v>
      </c>
      <c r="B694" t="s">
        <v>62</v>
      </c>
      <c r="F694">
        <v>336</v>
      </c>
    </row>
    <row r="695" spans="1:6" x14ac:dyDescent="0.35">
      <c r="A695" t="s">
        <v>7</v>
      </c>
      <c r="B695" t="s">
        <v>63</v>
      </c>
      <c r="F695">
        <v>329.6</v>
      </c>
    </row>
    <row r="696" spans="1:6" x14ac:dyDescent="0.35">
      <c r="A696" t="s">
        <v>7</v>
      </c>
      <c r="B696" t="s">
        <v>64</v>
      </c>
      <c r="F696">
        <v>323.2</v>
      </c>
    </row>
    <row r="697" spans="1:6" x14ac:dyDescent="0.35">
      <c r="A697" t="s">
        <v>7</v>
      </c>
      <c r="B697" t="s">
        <v>65</v>
      </c>
      <c r="F697">
        <v>313.60000000000002</v>
      </c>
    </row>
    <row r="698" spans="1:6" x14ac:dyDescent="0.35">
      <c r="A698" t="s">
        <v>7</v>
      </c>
      <c r="B698" t="s">
        <v>66</v>
      </c>
      <c r="F698">
        <v>300.8</v>
      </c>
    </row>
    <row r="699" spans="1:6" x14ac:dyDescent="0.35">
      <c r="A699" t="s">
        <v>7</v>
      </c>
      <c r="B699" t="s">
        <v>47</v>
      </c>
      <c r="F699">
        <v>2082.1792978572462</v>
      </c>
    </row>
    <row r="700" spans="1:6" x14ac:dyDescent="0.35">
      <c r="A700" t="s">
        <v>7</v>
      </c>
      <c r="B700" t="s">
        <v>46</v>
      </c>
      <c r="F700">
        <v>0</v>
      </c>
    </row>
    <row r="701" spans="1:6" x14ac:dyDescent="0.35">
      <c r="A701" t="s">
        <v>8</v>
      </c>
      <c r="B701" t="s">
        <v>72</v>
      </c>
      <c r="F701">
        <v>26.666666666666668</v>
      </c>
    </row>
    <row r="702" spans="1:6" x14ac:dyDescent="0.35">
      <c r="A702" t="s">
        <v>8</v>
      </c>
      <c r="B702" t="s">
        <v>61</v>
      </c>
      <c r="F702">
        <v>72.666666666666671</v>
      </c>
    </row>
    <row r="703" spans="1:6" x14ac:dyDescent="0.35">
      <c r="A703" t="s">
        <v>8</v>
      </c>
      <c r="B703" t="s">
        <v>62</v>
      </c>
      <c r="F703">
        <v>70</v>
      </c>
    </row>
    <row r="704" spans="1:6" x14ac:dyDescent="0.35">
      <c r="A704" t="s">
        <v>8</v>
      </c>
      <c r="B704" t="s">
        <v>63</v>
      </c>
      <c r="F704">
        <v>68.666666666666671</v>
      </c>
    </row>
    <row r="705" spans="1:6" x14ac:dyDescent="0.35">
      <c r="A705" t="s">
        <v>8</v>
      </c>
      <c r="B705" t="s">
        <v>64</v>
      </c>
      <c r="F705">
        <v>67.333333333333329</v>
      </c>
    </row>
    <row r="706" spans="1:6" x14ac:dyDescent="0.35">
      <c r="A706" t="s">
        <v>8</v>
      </c>
      <c r="B706" t="s">
        <v>65</v>
      </c>
      <c r="F706">
        <v>65.333333333333329</v>
      </c>
    </row>
    <row r="707" spans="1:6" x14ac:dyDescent="0.35">
      <c r="A707" t="s">
        <v>8</v>
      </c>
      <c r="B707" t="s">
        <v>66</v>
      </c>
      <c r="F707">
        <v>62.666666666666664</v>
      </c>
    </row>
    <row r="708" spans="1:6" x14ac:dyDescent="0.35">
      <c r="A708" t="s">
        <v>8</v>
      </c>
      <c r="B708" t="s">
        <v>47</v>
      </c>
      <c r="F708">
        <v>433.3540165914348</v>
      </c>
    </row>
    <row r="709" spans="1:6" x14ac:dyDescent="0.35">
      <c r="A709" t="s">
        <v>8</v>
      </c>
      <c r="B709" t="s">
        <v>46</v>
      </c>
      <c r="F709">
        <v>0</v>
      </c>
    </row>
    <row r="710" spans="1:6" x14ac:dyDescent="0.35">
      <c r="A710" t="s">
        <v>9</v>
      </c>
      <c r="B710" t="s">
        <v>72</v>
      </c>
      <c r="F710">
        <v>15.466666666666667</v>
      </c>
    </row>
    <row r="711" spans="1:6" x14ac:dyDescent="0.35">
      <c r="A711" t="s">
        <v>9</v>
      </c>
      <c r="B711" t="s">
        <v>61</v>
      </c>
      <c r="F711">
        <v>42.146666666666668</v>
      </c>
    </row>
    <row r="712" spans="1:6" x14ac:dyDescent="0.35">
      <c r="A712" t="s">
        <v>9</v>
      </c>
      <c r="B712" t="s">
        <v>62</v>
      </c>
      <c r="F712">
        <v>40.6</v>
      </c>
    </row>
    <row r="713" spans="1:6" x14ac:dyDescent="0.35">
      <c r="A713" t="s">
        <v>9</v>
      </c>
      <c r="B713" t="s">
        <v>63</v>
      </c>
      <c r="F713">
        <v>39.826666666666661</v>
      </c>
    </row>
    <row r="714" spans="1:6" x14ac:dyDescent="0.35">
      <c r="A714" t="s">
        <v>9</v>
      </c>
      <c r="B714" t="s">
        <v>64</v>
      </c>
      <c r="F714">
        <v>39.053333333333335</v>
      </c>
    </row>
    <row r="715" spans="1:6" x14ac:dyDescent="0.35">
      <c r="A715" t="s">
        <v>9</v>
      </c>
      <c r="B715" t="s">
        <v>65</v>
      </c>
      <c r="F715">
        <v>37.893333333333331</v>
      </c>
    </row>
    <row r="716" spans="1:6" x14ac:dyDescent="0.35">
      <c r="A716" t="s">
        <v>9</v>
      </c>
      <c r="B716" t="s">
        <v>66</v>
      </c>
      <c r="F716">
        <v>36.346666666666664</v>
      </c>
    </row>
    <row r="717" spans="1:6" x14ac:dyDescent="0.35">
      <c r="A717" t="s">
        <v>9</v>
      </c>
      <c r="B717" t="s">
        <v>47</v>
      </c>
      <c r="F717">
        <v>248.32609437081655</v>
      </c>
    </row>
    <row r="718" spans="1:6" x14ac:dyDescent="0.35">
      <c r="A718" t="s">
        <v>9</v>
      </c>
      <c r="B718" t="s">
        <v>46</v>
      </c>
      <c r="F718">
        <v>0</v>
      </c>
    </row>
    <row r="719" spans="1:6" x14ac:dyDescent="0.35">
      <c r="A719" t="s">
        <v>10</v>
      </c>
      <c r="B719" t="s">
        <v>72</v>
      </c>
      <c r="F719">
        <v>47.466666666666669</v>
      </c>
    </row>
    <row r="720" spans="1:6" x14ac:dyDescent="0.35">
      <c r="A720" t="s">
        <v>10</v>
      </c>
      <c r="B720" t="s">
        <v>61</v>
      </c>
      <c r="F720">
        <v>129.34666666666666</v>
      </c>
    </row>
    <row r="721" spans="1:6" x14ac:dyDescent="0.35">
      <c r="A721" t="s">
        <v>10</v>
      </c>
      <c r="B721" t="s">
        <v>62</v>
      </c>
      <c r="F721">
        <v>124.60000000000001</v>
      </c>
    </row>
    <row r="722" spans="1:6" x14ac:dyDescent="0.35">
      <c r="A722" t="s">
        <v>10</v>
      </c>
      <c r="B722" t="s">
        <v>63</v>
      </c>
      <c r="F722">
        <v>122.22666666666667</v>
      </c>
    </row>
    <row r="723" spans="1:6" x14ac:dyDescent="0.35">
      <c r="A723" t="s">
        <v>10</v>
      </c>
      <c r="B723" t="s">
        <v>64</v>
      </c>
      <c r="F723">
        <v>119.85333333333334</v>
      </c>
    </row>
    <row r="724" spans="1:6" x14ac:dyDescent="0.35">
      <c r="A724" t="s">
        <v>10</v>
      </c>
      <c r="B724" t="s">
        <v>65</v>
      </c>
      <c r="F724">
        <v>116.29333333333334</v>
      </c>
    </row>
    <row r="725" spans="1:6" x14ac:dyDescent="0.35">
      <c r="A725" t="s">
        <v>10</v>
      </c>
      <c r="B725" t="s">
        <v>66</v>
      </c>
      <c r="F725">
        <v>111.54666666666667</v>
      </c>
    </row>
    <row r="726" spans="1:6" x14ac:dyDescent="0.35">
      <c r="A726" t="s">
        <v>10</v>
      </c>
      <c r="B726" t="s">
        <v>47</v>
      </c>
      <c r="F726">
        <v>464.21096512756276</v>
      </c>
    </row>
    <row r="727" spans="1:6" x14ac:dyDescent="0.35">
      <c r="A727" t="s">
        <v>10</v>
      </c>
      <c r="B727" t="s">
        <v>46</v>
      </c>
      <c r="F727">
        <v>0</v>
      </c>
    </row>
    <row r="728" spans="1:6" x14ac:dyDescent="0.35">
      <c r="A728" t="s">
        <v>11</v>
      </c>
      <c r="B728" t="s">
        <v>72</v>
      </c>
      <c r="F728">
        <v>596.80000000000007</v>
      </c>
    </row>
    <row r="729" spans="1:6" x14ac:dyDescent="0.35">
      <c r="A729" t="s">
        <v>11</v>
      </c>
      <c r="B729" t="s">
        <v>61</v>
      </c>
      <c r="F729">
        <v>1626.28</v>
      </c>
    </row>
    <row r="730" spans="1:6" x14ac:dyDescent="0.35">
      <c r="A730" t="s">
        <v>11</v>
      </c>
      <c r="B730" t="s">
        <v>62</v>
      </c>
      <c r="F730">
        <v>1566.6000000000001</v>
      </c>
    </row>
    <row r="731" spans="1:6" x14ac:dyDescent="0.35">
      <c r="A731" t="s">
        <v>11</v>
      </c>
      <c r="B731" t="s">
        <v>63</v>
      </c>
      <c r="F731">
        <v>1536.76</v>
      </c>
    </row>
    <row r="732" spans="1:6" x14ac:dyDescent="0.35">
      <c r="A732" t="s">
        <v>11</v>
      </c>
      <c r="B732" t="s">
        <v>64</v>
      </c>
      <c r="F732">
        <v>1506.92</v>
      </c>
    </row>
    <row r="733" spans="1:6" x14ac:dyDescent="0.35">
      <c r="A733" t="s">
        <v>11</v>
      </c>
      <c r="B733" t="s">
        <v>65</v>
      </c>
      <c r="F733">
        <v>1462.1599999999999</v>
      </c>
    </row>
    <row r="734" spans="1:6" x14ac:dyDescent="0.35">
      <c r="A734" t="s">
        <v>11</v>
      </c>
      <c r="B734" t="s">
        <v>66</v>
      </c>
      <c r="F734">
        <v>1402.4799999999998</v>
      </c>
    </row>
    <row r="735" spans="1:6" x14ac:dyDescent="0.35">
      <c r="A735" t="s">
        <v>11</v>
      </c>
      <c r="B735" t="s">
        <v>47</v>
      </c>
      <c r="F735">
        <v>9702.4335961722609</v>
      </c>
    </row>
    <row r="736" spans="1:6" x14ac:dyDescent="0.35">
      <c r="A736" t="s">
        <v>11</v>
      </c>
      <c r="B736" t="s">
        <v>46</v>
      </c>
      <c r="F736">
        <v>0</v>
      </c>
    </row>
    <row r="737" spans="1:6" x14ac:dyDescent="0.35">
      <c r="A737" t="s">
        <v>12</v>
      </c>
      <c r="B737" t="s">
        <v>72</v>
      </c>
      <c r="F737">
        <v>436.26666666666665</v>
      </c>
    </row>
    <row r="738" spans="1:6" x14ac:dyDescent="0.35">
      <c r="A738" t="s">
        <v>12</v>
      </c>
      <c r="B738" t="s">
        <v>61</v>
      </c>
      <c r="F738">
        <v>1188.8266666666666</v>
      </c>
    </row>
    <row r="739" spans="1:6" x14ac:dyDescent="0.35">
      <c r="A739" t="s">
        <v>12</v>
      </c>
      <c r="B739" t="s">
        <v>62</v>
      </c>
      <c r="F739">
        <v>1145.2</v>
      </c>
    </row>
    <row r="740" spans="1:6" x14ac:dyDescent="0.35">
      <c r="A740" t="s">
        <v>12</v>
      </c>
      <c r="B740" t="s">
        <v>63</v>
      </c>
      <c r="F740">
        <v>1123.3866666666665</v>
      </c>
    </row>
    <row r="741" spans="1:6" x14ac:dyDescent="0.35">
      <c r="A741" t="s">
        <v>12</v>
      </c>
      <c r="B741" t="s">
        <v>64</v>
      </c>
      <c r="F741">
        <v>1101.5733333333333</v>
      </c>
    </row>
    <row r="742" spans="1:6" x14ac:dyDescent="0.35">
      <c r="A742" t="s">
        <v>12</v>
      </c>
      <c r="B742" t="s">
        <v>65</v>
      </c>
      <c r="F742">
        <v>1068.8533333333332</v>
      </c>
    </row>
    <row r="743" spans="1:6" x14ac:dyDescent="0.35">
      <c r="A743" t="s">
        <v>12</v>
      </c>
      <c r="B743" t="s">
        <v>66</v>
      </c>
      <c r="F743">
        <v>1025.2266666666667</v>
      </c>
    </row>
    <row r="744" spans="1:6" x14ac:dyDescent="0.35">
      <c r="A744" t="s">
        <v>12</v>
      </c>
      <c r="B744" t="s">
        <v>47</v>
      </c>
      <c r="F744">
        <v>7090.8987714915866</v>
      </c>
    </row>
    <row r="745" spans="1:6" x14ac:dyDescent="0.35">
      <c r="A745" t="s">
        <v>12</v>
      </c>
      <c r="B745" t="s">
        <v>46</v>
      </c>
      <c r="F745">
        <v>0</v>
      </c>
    </row>
    <row r="746" spans="1:6" x14ac:dyDescent="0.35">
      <c r="A746" t="s">
        <v>13</v>
      </c>
      <c r="B746" t="s">
        <v>72</v>
      </c>
      <c r="F746">
        <v>294.39999999999998</v>
      </c>
    </row>
    <row r="747" spans="1:6" x14ac:dyDescent="0.35">
      <c r="A747" t="s">
        <v>13</v>
      </c>
      <c r="B747" t="s">
        <v>61</v>
      </c>
      <c r="F747">
        <v>802.2399999999999</v>
      </c>
    </row>
    <row r="748" spans="1:6" x14ac:dyDescent="0.35">
      <c r="A748" t="s">
        <v>13</v>
      </c>
      <c r="B748" t="s">
        <v>62</v>
      </c>
      <c r="F748">
        <v>772.80000000000007</v>
      </c>
    </row>
    <row r="749" spans="1:6" x14ac:dyDescent="0.35">
      <c r="A749" t="s">
        <v>13</v>
      </c>
      <c r="B749" t="s">
        <v>63</v>
      </c>
      <c r="F749">
        <v>758.07999999999993</v>
      </c>
    </row>
    <row r="750" spans="1:6" x14ac:dyDescent="0.35">
      <c r="A750" t="s">
        <v>13</v>
      </c>
      <c r="B750" t="s">
        <v>64</v>
      </c>
      <c r="F750">
        <v>743.36</v>
      </c>
    </row>
    <row r="751" spans="1:6" x14ac:dyDescent="0.35">
      <c r="A751" t="s">
        <v>13</v>
      </c>
      <c r="B751" t="s">
        <v>65</v>
      </c>
      <c r="F751">
        <v>721.28000000000009</v>
      </c>
    </row>
    <row r="752" spans="1:6" x14ac:dyDescent="0.35">
      <c r="A752" t="s">
        <v>13</v>
      </c>
      <c r="B752" t="s">
        <v>66</v>
      </c>
      <c r="F752">
        <v>691.84</v>
      </c>
    </row>
    <row r="753" spans="1:6" x14ac:dyDescent="0.35">
      <c r="A753" t="s">
        <v>13</v>
      </c>
      <c r="B753" t="s">
        <v>47</v>
      </c>
      <c r="F753">
        <v>4782.4581441823493</v>
      </c>
    </row>
    <row r="754" spans="1:6" x14ac:dyDescent="0.35">
      <c r="A754" t="s">
        <v>13</v>
      </c>
      <c r="B754" t="s">
        <v>46</v>
      </c>
      <c r="F754">
        <v>0</v>
      </c>
    </row>
    <row r="755" spans="1:6" x14ac:dyDescent="0.35">
      <c r="A755" t="s">
        <v>14</v>
      </c>
      <c r="B755" t="s">
        <v>72</v>
      </c>
      <c r="F755">
        <v>230.93333333333331</v>
      </c>
    </row>
    <row r="756" spans="1:6" x14ac:dyDescent="0.35">
      <c r="A756" t="s">
        <v>14</v>
      </c>
      <c r="B756" t="s">
        <v>61</v>
      </c>
      <c r="F756">
        <v>629.29333333333329</v>
      </c>
    </row>
    <row r="757" spans="1:6" x14ac:dyDescent="0.35">
      <c r="A757" t="s">
        <v>14</v>
      </c>
      <c r="B757" t="s">
        <v>62</v>
      </c>
      <c r="F757">
        <v>606.19999999999993</v>
      </c>
    </row>
    <row r="758" spans="1:6" x14ac:dyDescent="0.35">
      <c r="A758" t="s">
        <v>14</v>
      </c>
      <c r="B758" t="s">
        <v>63</v>
      </c>
      <c r="F758">
        <v>594.65333333333331</v>
      </c>
    </row>
    <row r="759" spans="1:6" x14ac:dyDescent="0.35">
      <c r="A759" t="s">
        <v>14</v>
      </c>
      <c r="B759" t="s">
        <v>64</v>
      </c>
      <c r="F759">
        <v>583.10666666666668</v>
      </c>
    </row>
    <row r="760" spans="1:6" x14ac:dyDescent="0.35">
      <c r="A760" t="s">
        <v>14</v>
      </c>
      <c r="B760" t="s">
        <v>65</v>
      </c>
      <c r="F760">
        <v>565.78666666666663</v>
      </c>
    </row>
    <row r="761" spans="1:6" x14ac:dyDescent="0.35">
      <c r="A761" t="s">
        <v>14</v>
      </c>
      <c r="B761" t="s">
        <v>66</v>
      </c>
      <c r="F761">
        <v>542.69333333333327</v>
      </c>
    </row>
    <row r="762" spans="1:6" x14ac:dyDescent="0.35">
      <c r="A762" t="s">
        <v>14</v>
      </c>
      <c r="B762" t="s">
        <v>47</v>
      </c>
      <c r="F762">
        <v>3754.6242321747309</v>
      </c>
    </row>
    <row r="763" spans="1:6" x14ac:dyDescent="0.35">
      <c r="A763" t="s">
        <v>14</v>
      </c>
      <c r="B763" t="s">
        <v>46</v>
      </c>
      <c r="F763">
        <v>0</v>
      </c>
    </row>
    <row r="764" spans="1:6" x14ac:dyDescent="0.35">
      <c r="A764" t="s">
        <v>15</v>
      </c>
      <c r="B764" t="s">
        <v>72</v>
      </c>
      <c r="F764">
        <v>54.400000000000006</v>
      </c>
    </row>
    <row r="765" spans="1:6" x14ac:dyDescent="0.35">
      <c r="A765" t="s">
        <v>15</v>
      </c>
      <c r="B765" t="s">
        <v>61</v>
      </c>
      <c r="F765">
        <v>148.24</v>
      </c>
    </row>
    <row r="766" spans="1:6" x14ac:dyDescent="0.35">
      <c r="A766" t="s">
        <v>15</v>
      </c>
      <c r="B766" t="s">
        <v>62</v>
      </c>
      <c r="F766">
        <v>142.80000000000001</v>
      </c>
    </row>
    <row r="767" spans="1:6" x14ac:dyDescent="0.35">
      <c r="A767" t="s">
        <v>15</v>
      </c>
      <c r="B767" t="s">
        <v>63</v>
      </c>
      <c r="F767">
        <v>140.08000000000001</v>
      </c>
    </row>
    <row r="768" spans="1:6" x14ac:dyDescent="0.35">
      <c r="A768" t="s">
        <v>15</v>
      </c>
      <c r="B768" t="s">
        <v>64</v>
      </c>
      <c r="F768">
        <v>137.36000000000001</v>
      </c>
    </row>
    <row r="769" spans="1:6" x14ac:dyDescent="0.35">
      <c r="A769" t="s">
        <v>15</v>
      </c>
      <c r="B769" t="s">
        <v>65</v>
      </c>
      <c r="F769">
        <v>133.28</v>
      </c>
    </row>
    <row r="770" spans="1:6" x14ac:dyDescent="0.35">
      <c r="A770" t="s">
        <v>15</v>
      </c>
      <c r="B770" t="s">
        <v>66</v>
      </c>
      <c r="F770">
        <v>127.84000000000002</v>
      </c>
    </row>
    <row r="771" spans="1:6" x14ac:dyDescent="0.35">
      <c r="A771" t="s">
        <v>15</v>
      </c>
      <c r="B771" t="s">
        <v>47</v>
      </c>
      <c r="F771">
        <v>884.58695364840435</v>
      </c>
    </row>
    <row r="772" spans="1:6" x14ac:dyDescent="0.35">
      <c r="A772" t="s">
        <v>15</v>
      </c>
      <c r="B772" t="s">
        <v>46</v>
      </c>
      <c r="F772">
        <v>0</v>
      </c>
    </row>
    <row r="773" spans="1:6" x14ac:dyDescent="0.35">
      <c r="A773" t="s">
        <v>16</v>
      </c>
      <c r="B773" t="s">
        <v>72</v>
      </c>
      <c r="F773">
        <v>576.53333333333342</v>
      </c>
    </row>
    <row r="774" spans="1:6" x14ac:dyDescent="0.35">
      <c r="A774" t="s">
        <v>16</v>
      </c>
      <c r="B774" t="s">
        <v>61</v>
      </c>
      <c r="F774">
        <v>1571.0533333333333</v>
      </c>
    </row>
    <row r="775" spans="1:6" x14ac:dyDescent="0.35">
      <c r="A775" t="s">
        <v>16</v>
      </c>
      <c r="B775" t="s">
        <v>62</v>
      </c>
      <c r="F775">
        <v>1513.3999999999999</v>
      </c>
    </row>
    <row r="776" spans="1:6" x14ac:dyDescent="0.35">
      <c r="A776" t="s">
        <v>16</v>
      </c>
      <c r="B776" t="s">
        <v>63</v>
      </c>
      <c r="F776">
        <v>1484.5733333333335</v>
      </c>
    </row>
    <row r="777" spans="1:6" x14ac:dyDescent="0.35">
      <c r="A777" t="s">
        <v>16</v>
      </c>
      <c r="B777" t="s">
        <v>64</v>
      </c>
      <c r="F777">
        <v>1455.7466666666667</v>
      </c>
    </row>
    <row r="778" spans="1:6" x14ac:dyDescent="0.35">
      <c r="A778" t="s">
        <v>16</v>
      </c>
      <c r="B778" t="s">
        <v>65</v>
      </c>
      <c r="F778">
        <v>1412.5066666666669</v>
      </c>
    </row>
    <row r="779" spans="1:6" x14ac:dyDescent="0.35">
      <c r="A779" t="s">
        <v>16</v>
      </c>
      <c r="B779" t="s">
        <v>66</v>
      </c>
      <c r="F779">
        <v>1354.8533333333332</v>
      </c>
    </row>
    <row r="780" spans="1:6" x14ac:dyDescent="0.35">
      <c r="A780" t="s">
        <v>16</v>
      </c>
      <c r="B780" t="s">
        <v>47</v>
      </c>
      <c r="F780">
        <v>9365.29456592936</v>
      </c>
    </row>
    <row r="781" spans="1:6" x14ac:dyDescent="0.35">
      <c r="A781" t="s">
        <v>16</v>
      </c>
      <c r="B781" t="s">
        <v>46</v>
      </c>
      <c r="F781">
        <v>0</v>
      </c>
    </row>
    <row r="782" spans="1:6" x14ac:dyDescent="0.35">
      <c r="A782" t="s">
        <v>17</v>
      </c>
      <c r="B782" t="s">
        <v>72</v>
      </c>
      <c r="F782">
        <v>37.866666666666667</v>
      </c>
    </row>
    <row r="783" spans="1:6" x14ac:dyDescent="0.35">
      <c r="A783" t="s">
        <v>17</v>
      </c>
      <c r="B783" t="s">
        <v>61</v>
      </c>
      <c r="F783">
        <v>103.18666666666667</v>
      </c>
    </row>
    <row r="784" spans="1:6" x14ac:dyDescent="0.35">
      <c r="A784" t="s">
        <v>17</v>
      </c>
      <c r="B784" t="s">
        <v>62</v>
      </c>
      <c r="F784">
        <v>99.40000000000002</v>
      </c>
    </row>
    <row r="785" spans="1:6" x14ac:dyDescent="0.35">
      <c r="A785" t="s">
        <v>17</v>
      </c>
      <c r="B785" t="s">
        <v>63</v>
      </c>
      <c r="F785">
        <v>97.506666666666675</v>
      </c>
    </row>
    <row r="786" spans="1:6" x14ac:dyDescent="0.35">
      <c r="A786" t="s">
        <v>17</v>
      </c>
      <c r="B786" t="s">
        <v>64</v>
      </c>
      <c r="F786">
        <v>95.613333333333344</v>
      </c>
    </row>
    <row r="787" spans="1:6" x14ac:dyDescent="0.35">
      <c r="A787" t="s">
        <v>17</v>
      </c>
      <c r="B787" t="s">
        <v>65</v>
      </c>
      <c r="F787">
        <v>92.773333333333326</v>
      </c>
    </row>
    <row r="788" spans="1:6" x14ac:dyDescent="0.35">
      <c r="A788" t="s">
        <v>17</v>
      </c>
      <c r="B788" t="s">
        <v>66</v>
      </c>
      <c r="F788">
        <v>88.986666666666679</v>
      </c>
    </row>
    <row r="789" spans="1:6" x14ac:dyDescent="0.35">
      <c r="A789" t="s">
        <v>17</v>
      </c>
      <c r="B789" t="s">
        <v>47</v>
      </c>
      <c r="F789">
        <v>618.23537116848559</v>
      </c>
    </row>
    <row r="790" spans="1:6" x14ac:dyDescent="0.35">
      <c r="A790" t="s">
        <v>17</v>
      </c>
      <c r="B790" t="s">
        <v>46</v>
      </c>
      <c r="F790">
        <v>0</v>
      </c>
    </row>
    <row r="791" spans="1:6" x14ac:dyDescent="0.35">
      <c r="A791" t="s">
        <v>18</v>
      </c>
      <c r="B791" t="s">
        <v>72</v>
      </c>
      <c r="F791">
        <v>54.400000000000006</v>
      </c>
    </row>
    <row r="792" spans="1:6" x14ac:dyDescent="0.35">
      <c r="A792" t="s">
        <v>18</v>
      </c>
      <c r="B792" t="s">
        <v>61</v>
      </c>
      <c r="F792">
        <v>148.24</v>
      </c>
    </row>
    <row r="793" spans="1:6" x14ac:dyDescent="0.35">
      <c r="A793" t="s">
        <v>18</v>
      </c>
      <c r="B793" t="s">
        <v>62</v>
      </c>
      <c r="F793">
        <v>142.80000000000001</v>
      </c>
    </row>
    <row r="794" spans="1:6" x14ac:dyDescent="0.35">
      <c r="A794" t="s">
        <v>18</v>
      </c>
      <c r="B794" t="s">
        <v>63</v>
      </c>
      <c r="F794">
        <v>140.08000000000001</v>
      </c>
    </row>
    <row r="795" spans="1:6" x14ac:dyDescent="0.35">
      <c r="A795" t="s">
        <v>18</v>
      </c>
      <c r="B795" t="s">
        <v>64</v>
      </c>
      <c r="F795">
        <v>137.36000000000001</v>
      </c>
    </row>
    <row r="796" spans="1:6" x14ac:dyDescent="0.35">
      <c r="A796" t="s">
        <v>18</v>
      </c>
      <c r="B796" t="s">
        <v>65</v>
      </c>
      <c r="F796">
        <v>133.28</v>
      </c>
    </row>
    <row r="797" spans="1:6" x14ac:dyDescent="0.35">
      <c r="A797" t="s">
        <v>18</v>
      </c>
      <c r="B797" t="s">
        <v>66</v>
      </c>
      <c r="F797">
        <v>127.84000000000002</v>
      </c>
    </row>
    <row r="798" spans="1:6" x14ac:dyDescent="0.35">
      <c r="A798" t="s">
        <v>18</v>
      </c>
      <c r="B798" t="s">
        <v>47</v>
      </c>
      <c r="F798">
        <v>885.56182239573684</v>
      </c>
    </row>
    <row r="799" spans="1:6" x14ac:dyDescent="0.35">
      <c r="A799" t="s">
        <v>18</v>
      </c>
      <c r="B799" t="s">
        <v>46</v>
      </c>
      <c r="F799">
        <v>0</v>
      </c>
    </row>
    <row r="800" spans="1:6" x14ac:dyDescent="0.35">
      <c r="A800" t="s">
        <v>19</v>
      </c>
      <c r="B800" t="s">
        <v>72</v>
      </c>
      <c r="F800">
        <v>5.333333333333333</v>
      </c>
    </row>
    <row r="801" spans="1:6" x14ac:dyDescent="0.35">
      <c r="A801" t="s">
        <v>19</v>
      </c>
      <c r="B801" t="s">
        <v>61</v>
      </c>
      <c r="F801">
        <v>14.533333333333333</v>
      </c>
    </row>
    <row r="802" spans="1:6" x14ac:dyDescent="0.35">
      <c r="A802" t="s">
        <v>19</v>
      </c>
      <c r="B802" t="s">
        <v>62</v>
      </c>
      <c r="F802">
        <v>14</v>
      </c>
    </row>
    <row r="803" spans="1:6" x14ac:dyDescent="0.35">
      <c r="A803" t="s">
        <v>19</v>
      </c>
      <c r="B803" t="s">
        <v>63</v>
      </c>
      <c r="F803">
        <v>13.733333333333334</v>
      </c>
    </row>
    <row r="804" spans="1:6" x14ac:dyDescent="0.35">
      <c r="A804" t="s">
        <v>19</v>
      </c>
      <c r="B804" t="s">
        <v>64</v>
      </c>
      <c r="F804">
        <v>13.466666666666667</v>
      </c>
    </row>
    <row r="805" spans="1:6" x14ac:dyDescent="0.35">
      <c r="A805" t="s">
        <v>19</v>
      </c>
      <c r="B805" t="s">
        <v>65</v>
      </c>
      <c r="F805">
        <v>13.066666666666668</v>
      </c>
    </row>
    <row r="806" spans="1:6" x14ac:dyDescent="0.35">
      <c r="A806" t="s">
        <v>19</v>
      </c>
      <c r="B806" t="s">
        <v>66</v>
      </c>
      <c r="F806">
        <v>12.533333333333333</v>
      </c>
    </row>
    <row r="807" spans="1:6" x14ac:dyDescent="0.35">
      <c r="A807" t="s">
        <v>19</v>
      </c>
      <c r="B807" t="s">
        <v>47</v>
      </c>
      <c r="F807">
        <v>88.143346104792712</v>
      </c>
    </row>
    <row r="808" spans="1:6" x14ac:dyDescent="0.35">
      <c r="A808" t="s">
        <v>19</v>
      </c>
      <c r="B808" t="s">
        <v>46</v>
      </c>
      <c r="F808">
        <v>0</v>
      </c>
    </row>
    <row r="809" spans="1:6" x14ac:dyDescent="0.35">
      <c r="A809" t="s">
        <v>20</v>
      </c>
      <c r="B809" t="s">
        <v>72</v>
      </c>
      <c r="F809">
        <v>3.7333333333333329</v>
      </c>
    </row>
    <row r="810" spans="1:6" x14ac:dyDescent="0.35">
      <c r="A810" t="s">
        <v>20</v>
      </c>
      <c r="B810" t="s">
        <v>61</v>
      </c>
      <c r="F810">
        <v>10.173333333333334</v>
      </c>
    </row>
    <row r="811" spans="1:6" x14ac:dyDescent="0.35">
      <c r="A811" t="s">
        <v>20</v>
      </c>
      <c r="B811" t="s">
        <v>62</v>
      </c>
      <c r="F811">
        <v>9.7999999999999989</v>
      </c>
    </row>
    <row r="812" spans="1:6" x14ac:dyDescent="0.35">
      <c r="A812" t="s">
        <v>20</v>
      </c>
      <c r="B812" t="s">
        <v>63</v>
      </c>
      <c r="F812">
        <v>9.6133333333333333</v>
      </c>
    </row>
    <row r="813" spans="1:6" x14ac:dyDescent="0.35">
      <c r="A813" t="s">
        <v>20</v>
      </c>
      <c r="B813" t="s">
        <v>64</v>
      </c>
      <c r="F813">
        <v>9.4266666666666676</v>
      </c>
    </row>
    <row r="814" spans="1:6" x14ac:dyDescent="0.35">
      <c r="A814" t="s">
        <v>20</v>
      </c>
      <c r="B814" t="s">
        <v>65</v>
      </c>
      <c r="F814">
        <v>9.1466666666666665</v>
      </c>
    </row>
    <row r="815" spans="1:6" x14ac:dyDescent="0.35">
      <c r="A815" t="s">
        <v>20</v>
      </c>
      <c r="B815" t="s">
        <v>66</v>
      </c>
      <c r="F815">
        <v>8.7733333333333334</v>
      </c>
    </row>
    <row r="816" spans="1:6" x14ac:dyDescent="0.35">
      <c r="A816" t="s">
        <v>20</v>
      </c>
      <c r="B816" t="s">
        <v>47</v>
      </c>
      <c r="F816">
        <v>60.666666666666664</v>
      </c>
    </row>
    <row r="817" spans="1:6" x14ac:dyDescent="0.35">
      <c r="A817" t="s">
        <v>20</v>
      </c>
      <c r="B817" t="s">
        <v>46</v>
      </c>
      <c r="F817">
        <v>0</v>
      </c>
    </row>
    <row r="818" spans="1:6" x14ac:dyDescent="0.35">
      <c r="A818" t="s">
        <v>21</v>
      </c>
      <c r="B818" t="s">
        <v>72</v>
      </c>
      <c r="F818">
        <v>59.199999999999996</v>
      </c>
    </row>
    <row r="819" spans="1:6" x14ac:dyDescent="0.35">
      <c r="A819" t="s">
        <v>21</v>
      </c>
      <c r="B819" t="s">
        <v>61</v>
      </c>
      <c r="F819">
        <v>161.32000000000002</v>
      </c>
    </row>
    <row r="820" spans="1:6" x14ac:dyDescent="0.35">
      <c r="A820" t="s">
        <v>21</v>
      </c>
      <c r="B820" t="s">
        <v>62</v>
      </c>
      <c r="F820">
        <v>155.4</v>
      </c>
    </row>
    <row r="821" spans="1:6" x14ac:dyDescent="0.35">
      <c r="A821" t="s">
        <v>21</v>
      </c>
      <c r="B821" t="s">
        <v>63</v>
      </c>
      <c r="F821">
        <v>152.44</v>
      </c>
    </row>
    <row r="822" spans="1:6" x14ac:dyDescent="0.35">
      <c r="A822" t="s">
        <v>21</v>
      </c>
      <c r="B822" t="s">
        <v>64</v>
      </c>
      <c r="F822">
        <v>149.47999999999999</v>
      </c>
    </row>
    <row r="823" spans="1:6" x14ac:dyDescent="0.35">
      <c r="A823" t="s">
        <v>21</v>
      </c>
      <c r="B823" t="s">
        <v>65</v>
      </c>
      <c r="F823">
        <v>145.04</v>
      </c>
    </row>
    <row r="824" spans="1:6" x14ac:dyDescent="0.35">
      <c r="A824" t="s">
        <v>21</v>
      </c>
      <c r="B824" t="s">
        <v>66</v>
      </c>
      <c r="F824">
        <v>139.12</v>
      </c>
    </row>
    <row r="825" spans="1:6" x14ac:dyDescent="0.35">
      <c r="A825" t="s">
        <v>21</v>
      </c>
      <c r="B825" t="s">
        <v>47</v>
      </c>
      <c r="F825">
        <v>960.68963329741916</v>
      </c>
    </row>
    <row r="826" spans="1:6" x14ac:dyDescent="0.35">
      <c r="A826" t="s">
        <v>21</v>
      </c>
      <c r="B826" t="s">
        <v>46</v>
      </c>
      <c r="F826">
        <v>0</v>
      </c>
    </row>
    <row r="827" spans="1:6" x14ac:dyDescent="0.35">
      <c r="A827" t="s">
        <v>22</v>
      </c>
      <c r="B827" t="s">
        <v>72</v>
      </c>
      <c r="F827">
        <v>938.66666666666663</v>
      </c>
    </row>
    <row r="828" spans="1:6" x14ac:dyDescent="0.35">
      <c r="A828" t="s">
        <v>22</v>
      </c>
      <c r="B828" t="s">
        <v>61</v>
      </c>
      <c r="F828">
        <v>2557.8666666666663</v>
      </c>
    </row>
    <row r="829" spans="1:6" x14ac:dyDescent="0.35">
      <c r="A829" t="s">
        <v>22</v>
      </c>
      <c r="B829" t="s">
        <v>62</v>
      </c>
      <c r="F829">
        <v>2464</v>
      </c>
    </row>
    <row r="830" spans="1:6" x14ac:dyDescent="0.35">
      <c r="A830" t="s">
        <v>22</v>
      </c>
      <c r="B830" t="s">
        <v>63</v>
      </c>
      <c r="F830">
        <v>2417.0666666666666</v>
      </c>
    </row>
    <row r="831" spans="1:6" x14ac:dyDescent="0.35">
      <c r="A831" t="s">
        <v>22</v>
      </c>
      <c r="B831" t="s">
        <v>64</v>
      </c>
      <c r="F831">
        <v>2370.1333333333332</v>
      </c>
    </row>
    <row r="832" spans="1:6" x14ac:dyDescent="0.35">
      <c r="A832" t="s">
        <v>22</v>
      </c>
      <c r="B832" t="s">
        <v>65</v>
      </c>
      <c r="F832">
        <v>2299.7333333333331</v>
      </c>
    </row>
    <row r="833" spans="1:6" x14ac:dyDescent="0.35">
      <c r="A833" t="s">
        <v>22</v>
      </c>
      <c r="B833" t="s">
        <v>66</v>
      </c>
      <c r="F833">
        <v>2205.8666666666663</v>
      </c>
    </row>
    <row r="834" spans="1:6" x14ac:dyDescent="0.35">
      <c r="A834" t="s">
        <v>22</v>
      </c>
      <c r="B834" t="s">
        <v>47</v>
      </c>
      <c r="F834">
        <v>15252.035260860037</v>
      </c>
    </row>
    <row r="835" spans="1:6" x14ac:dyDescent="0.35">
      <c r="A835" t="s">
        <v>22</v>
      </c>
      <c r="B835" t="s">
        <v>46</v>
      </c>
      <c r="F835">
        <v>0</v>
      </c>
    </row>
    <row r="836" spans="1:6" x14ac:dyDescent="0.35">
      <c r="A836" t="s">
        <v>23</v>
      </c>
      <c r="B836" t="s">
        <v>72</v>
      </c>
      <c r="F836">
        <v>100.26666666666667</v>
      </c>
    </row>
    <row r="837" spans="1:6" x14ac:dyDescent="0.35">
      <c r="A837" t="s">
        <v>23</v>
      </c>
      <c r="B837" t="s">
        <v>61</v>
      </c>
      <c r="F837">
        <v>273.22666666666669</v>
      </c>
    </row>
    <row r="838" spans="1:6" x14ac:dyDescent="0.35">
      <c r="A838" t="s">
        <v>23</v>
      </c>
      <c r="B838" t="s">
        <v>62</v>
      </c>
      <c r="F838">
        <v>263.2</v>
      </c>
    </row>
    <row r="839" spans="1:6" x14ac:dyDescent="0.35">
      <c r="A839" t="s">
        <v>23</v>
      </c>
      <c r="B839" t="s">
        <v>63</v>
      </c>
      <c r="F839">
        <v>258.18666666666667</v>
      </c>
    </row>
    <row r="840" spans="1:6" x14ac:dyDescent="0.35">
      <c r="A840" t="s">
        <v>23</v>
      </c>
      <c r="B840" t="s">
        <v>64</v>
      </c>
      <c r="F840">
        <v>253.17333333333332</v>
      </c>
    </row>
    <row r="841" spans="1:6" x14ac:dyDescent="0.35">
      <c r="A841" t="s">
        <v>23</v>
      </c>
      <c r="B841" t="s">
        <v>65</v>
      </c>
      <c r="F841">
        <v>245.65333333333334</v>
      </c>
    </row>
    <row r="842" spans="1:6" x14ac:dyDescent="0.35">
      <c r="A842" t="s">
        <v>23</v>
      </c>
      <c r="B842" t="s">
        <v>66</v>
      </c>
      <c r="F842">
        <v>235.62666666666667</v>
      </c>
    </row>
    <row r="843" spans="1:6" x14ac:dyDescent="0.35">
      <c r="A843" t="s">
        <v>23</v>
      </c>
      <c r="B843" t="s">
        <v>47</v>
      </c>
      <c r="F843">
        <v>1630.8720231175605</v>
      </c>
    </row>
    <row r="844" spans="1:6" x14ac:dyDescent="0.35">
      <c r="A844" t="s">
        <v>23</v>
      </c>
      <c r="B844" t="s">
        <v>46</v>
      </c>
      <c r="F844">
        <v>0</v>
      </c>
    </row>
    <row r="845" spans="1:6" x14ac:dyDescent="0.35">
      <c r="A845" t="s">
        <v>24</v>
      </c>
      <c r="B845" t="s">
        <v>72</v>
      </c>
      <c r="F845">
        <v>493.33333333333331</v>
      </c>
    </row>
    <row r="846" spans="1:6" x14ac:dyDescent="0.35">
      <c r="A846" t="s">
        <v>24</v>
      </c>
      <c r="B846" t="s">
        <v>61</v>
      </c>
      <c r="F846">
        <v>1344.3333333333333</v>
      </c>
    </row>
    <row r="847" spans="1:6" x14ac:dyDescent="0.35">
      <c r="A847" t="s">
        <v>24</v>
      </c>
      <c r="B847" t="s">
        <v>62</v>
      </c>
      <c r="F847">
        <v>1295</v>
      </c>
    </row>
    <row r="848" spans="1:6" x14ac:dyDescent="0.35">
      <c r="A848" t="s">
        <v>24</v>
      </c>
      <c r="B848" t="s">
        <v>63</v>
      </c>
      <c r="F848">
        <v>1270.3333333333333</v>
      </c>
    </row>
    <row r="849" spans="1:6" x14ac:dyDescent="0.35">
      <c r="A849" t="s">
        <v>24</v>
      </c>
      <c r="B849" t="s">
        <v>64</v>
      </c>
      <c r="F849">
        <v>1245.6666666666667</v>
      </c>
    </row>
    <row r="850" spans="1:6" x14ac:dyDescent="0.35">
      <c r="A850" t="s">
        <v>24</v>
      </c>
      <c r="B850" t="s">
        <v>65</v>
      </c>
      <c r="F850">
        <v>1208.6666666666667</v>
      </c>
    </row>
    <row r="851" spans="1:6" x14ac:dyDescent="0.35">
      <c r="A851" t="s">
        <v>24</v>
      </c>
      <c r="B851" t="s">
        <v>66</v>
      </c>
      <c r="F851">
        <v>1159.3333333333333</v>
      </c>
    </row>
    <row r="852" spans="1:6" x14ac:dyDescent="0.35">
      <c r="A852" t="s">
        <v>24</v>
      </c>
      <c r="B852" t="s">
        <v>47</v>
      </c>
      <c r="F852">
        <v>8016.9030523972397</v>
      </c>
    </row>
    <row r="853" spans="1:6" x14ac:dyDescent="0.35">
      <c r="A853" t="s">
        <v>24</v>
      </c>
      <c r="B853" t="s">
        <v>46</v>
      </c>
      <c r="F853">
        <v>0</v>
      </c>
    </row>
    <row r="854" spans="1:6" x14ac:dyDescent="0.35">
      <c r="A854" t="s">
        <v>25</v>
      </c>
      <c r="B854" t="s">
        <v>72</v>
      </c>
      <c r="F854">
        <v>125.33333333333333</v>
      </c>
    </row>
    <row r="855" spans="1:6" x14ac:dyDescent="0.35">
      <c r="A855" t="s">
        <v>25</v>
      </c>
      <c r="B855" t="s">
        <v>61</v>
      </c>
      <c r="F855">
        <v>341.5333333333333</v>
      </c>
    </row>
    <row r="856" spans="1:6" x14ac:dyDescent="0.35">
      <c r="A856" t="s">
        <v>25</v>
      </c>
      <c r="B856" t="s">
        <v>62</v>
      </c>
      <c r="F856">
        <v>329</v>
      </c>
    </row>
    <row r="857" spans="1:6" x14ac:dyDescent="0.35">
      <c r="A857" t="s">
        <v>25</v>
      </c>
      <c r="B857" t="s">
        <v>63</v>
      </c>
      <c r="F857">
        <v>322.73333333333335</v>
      </c>
    </row>
    <row r="858" spans="1:6" x14ac:dyDescent="0.35">
      <c r="A858" t="s">
        <v>25</v>
      </c>
      <c r="B858" t="s">
        <v>64</v>
      </c>
      <c r="F858">
        <v>316.46666666666664</v>
      </c>
    </row>
    <row r="859" spans="1:6" x14ac:dyDescent="0.35">
      <c r="A859" t="s">
        <v>25</v>
      </c>
      <c r="B859" t="s">
        <v>65</v>
      </c>
      <c r="F859">
        <v>307.06666666666666</v>
      </c>
    </row>
    <row r="860" spans="1:6" x14ac:dyDescent="0.35">
      <c r="A860" t="s">
        <v>25</v>
      </c>
      <c r="B860" t="s">
        <v>66</v>
      </c>
      <c r="F860">
        <v>294.53333333333336</v>
      </c>
    </row>
    <row r="861" spans="1:6" x14ac:dyDescent="0.35">
      <c r="A861" t="s">
        <v>25</v>
      </c>
      <c r="B861" t="s">
        <v>47</v>
      </c>
      <c r="F861">
        <v>2040.7374324948487</v>
      </c>
    </row>
    <row r="862" spans="1:6" x14ac:dyDescent="0.35">
      <c r="A862" t="s">
        <v>25</v>
      </c>
      <c r="B862" t="s">
        <v>46</v>
      </c>
      <c r="F862">
        <v>0</v>
      </c>
    </row>
    <row r="863" spans="1:6" x14ac:dyDescent="0.35">
      <c r="A863" t="s">
        <v>26</v>
      </c>
      <c r="B863" t="s">
        <v>72</v>
      </c>
      <c r="F863">
        <v>29.333333333333332</v>
      </c>
    </row>
    <row r="864" spans="1:6" x14ac:dyDescent="0.35">
      <c r="A864" t="s">
        <v>26</v>
      </c>
      <c r="B864" t="s">
        <v>61</v>
      </c>
      <c r="F864">
        <v>79.933333333333323</v>
      </c>
    </row>
    <row r="865" spans="1:6" x14ac:dyDescent="0.35">
      <c r="A865" t="s">
        <v>26</v>
      </c>
      <c r="B865" t="s">
        <v>62</v>
      </c>
      <c r="F865">
        <v>77</v>
      </c>
    </row>
    <row r="866" spans="1:6" x14ac:dyDescent="0.35">
      <c r="A866" t="s">
        <v>26</v>
      </c>
      <c r="B866" t="s">
        <v>63</v>
      </c>
      <c r="F866">
        <v>75.533333333333331</v>
      </c>
    </row>
    <row r="867" spans="1:6" x14ac:dyDescent="0.35">
      <c r="A867" t="s">
        <v>26</v>
      </c>
      <c r="B867" t="s">
        <v>64</v>
      </c>
      <c r="F867">
        <v>74.066666666666663</v>
      </c>
    </row>
    <row r="868" spans="1:6" x14ac:dyDescent="0.35">
      <c r="A868" t="s">
        <v>26</v>
      </c>
      <c r="B868" t="s">
        <v>65</v>
      </c>
      <c r="F868">
        <v>71.86666666666666</v>
      </c>
    </row>
    <row r="869" spans="1:6" x14ac:dyDescent="0.35">
      <c r="A869" t="s">
        <v>26</v>
      </c>
      <c r="B869" t="s">
        <v>66</v>
      </c>
      <c r="F869">
        <v>68.933333333333323</v>
      </c>
    </row>
    <row r="870" spans="1:6" x14ac:dyDescent="0.35">
      <c r="A870" t="s">
        <v>26</v>
      </c>
      <c r="B870" t="s">
        <v>47</v>
      </c>
      <c r="F870">
        <v>476.99531671131058</v>
      </c>
    </row>
    <row r="871" spans="1:6" x14ac:dyDescent="0.35">
      <c r="A871" t="s">
        <v>26</v>
      </c>
      <c r="B871" t="s">
        <v>46</v>
      </c>
      <c r="F871">
        <v>0</v>
      </c>
    </row>
    <row r="872" spans="1:6" x14ac:dyDescent="0.35">
      <c r="A872" t="s">
        <v>27</v>
      </c>
      <c r="B872" t="s">
        <v>72</v>
      </c>
      <c r="F872">
        <v>561.06666666666672</v>
      </c>
    </row>
    <row r="873" spans="1:6" x14ac:dyDescent="0.35">
      <c r="A873" t="s">
        <v>27</v>
      </c>
      <c r="B873" t="s">
        <v>61</v>
      </c>
      <c r="F873">
        <v>1528.9066666666668</v>
      </c>
    </row>
    <row r="874" spans="1:6" x14ac:dyDescent="0.35">
      <c r="A874" t="s">
        <v>27</v>
      </c>
      <c r="B874" t="s">
        <v>62</v>
      </c>
      <c r="F874">
        <v>1472.8</v>
      </c>
    </row>
    <row r="875" spans="1:6" x14ac:dyDescent="0.35">
      <c r="A875" t="s">
        <v>27</v>
      </c>
      <c r="B875" t="s">
        <v>63</v>
      </c>
      <c r="F875">
        <v>1444.7466666666667</v>
      </c>
    </row>
    <row r="876" spans="1:6" x14ac:dyDescent="0.35">
      <c r="A876" t="s">
        <v>27</v>
      </c>
      <c r="B876" t="s">
        <v>64</v>
      </c>
      <c r="F876">
        <v>1416.6933333333334</v>
      </c>
    </row>
    <row r="877" spans="1:6" x14ac:dyDescent="0.35">
      <c r="A877" t="s">
        <v>27</v>
      </c>
      <c r="B877" t="s">
        <v>65</v>
      </c>
      <c r="F877">
        <v>1374.6133333333335</v>
      </c>
    </row>
    <row r="878" spans="1:6" x14ac:dyDescent="0.35">
      <c r="A878" t="s">
        <v>27</v>
      </c>
      <c r="B878" t="s">
        <v>66</v>
      </c>
      <c r="F878">
        <v>1318.5066666666667</v>
      </c>
    </row>
    <row r="879" spans="1:6" x14ac:dyDescent="0.35">
      <c r="A879" t="s">
        <v>27</v>
      </c>
      <c r="B879" t="s">
        <v>47</v>
      </c>
      <c r="F879">
        <v>9117.0461741586387</v>
      </c>
    </row>
    <row r="880" spans="1:6" x14ac:dyDescent="0.35">
      <c r="A880" t="s">
        <v>27</v>
      </c>
      <c r="B880" t="s">
        <v>46</v>
      </c>
      <c r="F880">
        <v>0</v>
      </c>
    </row>
    <row r="881" spans="1:6" x14ac:dyDescent="0.35">
      <c r="A881" t="s">
        <v>28</v>
      </c>
      <c r="B881" t="s">
        <v>72</v>
      </c>
      <c r="F881">
        <v>33.06666666666667</v>
      </c>
    </row>
    <row r="882" spans="1:6" x14ac:dyDescent="0.35">
      <c r="A882" t="s">
        <v>28</v>
      </c>
      <c r="B882" t="s">
        <v>61</v>
      </c>
      <c r="F882">
        <v>90.106666666666669</v>
      </c>
    </row>
    <row r="883" spans="1:6" x14ac:dyDescent="0.35">
      <c r="A883" t="s">
        <v>28</v>
      </c>
      <c r="B883" t="s">
        <v>62</v>
      </c>
      <c r="F883">
        <v>86.8</v>
      </c>
    </row>
    <row r="884" spans="1:6" x14ac:dyDescent="0.35">
      <c r="A884" t="s">
        <v>28</v>
      </c>
      <c r="B884" t="s">
        <v>63</v>
      </c>
      <c r="F884">
        <v>85.146666666666661</v>
      </c>
    </row>
    <row r="885" spans="1:6" x14ac:dyDescent="0.35">
      <c r="A885" t="s">
        <v>28</v>
      </c>
      <c r="B885" t="s">
        <v>64</v>
      </c>
      <c r="F885">
        <v>83.493333333333325</v>
      </c>
    </row>
    <row r="886" spans="1:6" x14ac:dyDescent="0.35">
      <c r="A886" t="s">
        <v>28</v>
      </c>
      <c r="B886" t="s">
        <v>65</v>
      </c>
      <c r="F886">
        <v>81.013333333333335</v>
      </c>
    </row>
    <row r="887" spans="1:6" x14ac:dyDescent="0.35">
      <c r="A887" t="s">
        <v>28</v>
      </c>
      <c r="B887" t="s">
        <v>66</v>
      </c>
      <c r="F887">
        <v>77.706666666666663</v>
      </c>
    </row>
    <row r="888" spans="1:6" x14ac:dyDescent="0.35">
      <c r="A888" t="s">
        <v>28</v>
      </c>
      <c r="B888" t="s">
        <v>47</v>
      </c>
      <c r="F888">
        <v>533.88830805384725</v>
      </c>
    </row>
    <row r="889" spans="1:6" x14ac:dyDescent="0.35">
      <c r="A889" t="s">
        <v>28</v>
      </c>
      <c r="B889" t="s">
        <v>46</v>
      </c>
      <c r="F889">
        <v>0</v>
      </c>
    </row>
    <row r="890" spans="1:6" x14ac:dyDescent="0.35">
      <c r="A890" t="s">
        <v>29</v>
      </c>
      <c r="B890" t="s">
        <v>72</v>
      </c>
      <c r="F890">
        <v>5351.4666666666672</v>
      </c>
    </row>
    <row r="891" spans="1:6" x14ac:dyDescent="0.35">
      <c r="A891" t="s">
        <v>29</v>
      </c>
      <c r="B891" t="s">
        <v>61</v>
      </c>
      <c r="F891">
        <v>14582.746666666668</v>
      </c>
    </row>
    <row r="892" spans="1:6" x14ac:dyDescent="0.35">
      <c r="A892" t="s">
        <v>29</v>
      </c>
      <c r="B892" t="s">
        <v>62</v>
      </c>
      <c r="F892">
        <v>14047.6</v>
      </c>
    </row>
    <row r="893" spans="1:6" x14ac:dyDescent="0.35">
      <c r="A893" t="s">
        <v>29</v>
      </c>
      <c r="B893" t="s">
        <v>63</v>
      </c>
      <c r="F893">
        <v>13780.026666666668</v>
      </c>
    </row>
    <row r="894" spans="1:6" x14ac:dyDescent="0.35">
      <c r="A894" t="s">
        <v>29</v>
      </c>
      <c r="B894" t="s">
        <v>64</v>
      </c>
      <c r="F894">
        <v>13512.453333333338</v>
      </c>
    </row>
    <row r="895" spans="1:6" x14ac:dyDescent="0.35">
      <c r="A895" t="s">
        <v>29</v>
      </c>
      <c r="B895" t="s">
        <v>65</v>
      </c>
      <c r="F895">
        <v>13111.093333333331</v>
      </c>
    </row>
    <row r="896" spans="1:6" x14ac:dyDescent="0.35">
      <c r="A896" t="s">
        <v>29</v>
      </c>
      <c r="B896" t="s">
        <v>66</v>
      </c>
      <c r="F896">
        <v>12575.946666666667</v>
      </c>
    </row>
    <row r="897" spans="1:7" x14ac:dyDescent="0.35">
      <c r="A897" t="s">
        <v>29</v>
      </c>
      <c r="B897" t="s">
        <v>47</v>
      </c>
      <c r="F897">
        <v>86666.666666666642</v>
      </c>
    </row>
    <row r="898" spans="1:7" x14ac:dyDescent="0.35">
      <c r="A898" t="s">
        <v>29</v>
      </c>
      <c r="B898" t="s">
        <v>46</v>
      </c>
      <c r="F898">
        <v>0</v>
      </c>
    </row>
    <row r="899" spans="1:7" x14ac:dyDescent="0.35">
      <c r="A899" t="s">
        <v>2</v>
      </c>
      <c r="B899" t="s">
        <v>61</v>
      </c>
      <c r="G899">
        <v>272.73882513802789</v>
      </c>
    </row>
    <row r="900" spans="1:7" x14ac:dyDescent="0.35">
      <c r="A900" t="s">
        <v>2</v>
      </c>
      <c r="B900" t="s">
        <v>62</v>
      </c>
      <c r="G900">
        <v>995.97283751894395</v>
      </c>
    </row>
    <row r="901" spans="1:7" x14ac:dyDescent="0.35">
      <c r="A901" t="s">
        <v>2</v>
      </c>
      <c r="B901" t="s">
        <v>63</v>
      </c>
      <c r="G901">
        <v>1342.9587772216437</v>
      </c>
    </row>
    <row r="902" spans="1:7" x14ac:dyDescent="0.35">
      <c r="A902" t="s">
        <v>2</v>
      </c>
      <c r="B902" t="s">
        <v>64</v>
      </c>
      <c r="G902">
        <v>1313.4338219820745</v>
      </c>
    </row>
    <row r="903" spans="1:7" x14ac:dyDescent="0.35">
      <c r="A903" t="s">
        <v>2</v>
      </c>
      <c r="B903" t="s">
        <v>65</v>
      </c>
      <c r="G903">
        <v>1447.1776592767546</v>
      </c>
    </row>
    <row r="904" spans="1:7" x14ac:dyDescent="0.35">
      <c r="A904" t="s">
        <v>2</v>
      </c>
      <c r="B904" t="s">
        <v>66</v>
      </c>
      <c r="G904">
        <v>1049.057138166462</v>
      </c>
    </row>
    <row r="905" spans="1:7" x14ac:dyDescent="0.35">
      <c r="A905" t="s">
        <v>2</v>
      </c>
      <c r="B905" t="s">
        <v>47</v>
      </c>
      <c r="G905">
        <v>6409.3126415481411</v>
      </c>
    </row>
    <row r="906" spans="1:7" x14ac:dyDescent="0.35">
      <c r="A906" t="s">
        <v>3</v>
      </c>
      <c r="B906" t="s">
        <v>61</v>
      </c>
      <c r="G906">
        <v>345.68750907991921</v>
      </c>
    </row>
    <row r="907" spans="1:7" x14ac:dyDescent="0.35">
      <c r="A907" t="s">
        <v>3</v>
      </c>
      <c r="B907" t="s">
        <v>62</v>
      </c>
      <c r="G907">
        <v>1386.537069796422</v>
      </c>
    </row>
    <row r="908" spans="1:7" x14ac:dyDescent="0.35">
      <c r="A908" t="s">
        <v>3</v>
      </c>
      <c r="B908" t="s">
        <v>63</v>
      </c>
      <c r="G908">
        <v>1885.939691994776</v>
      </c>
    </row>
    <row r="909" spans="1:7" x14ac:dyDescent="0.35">
      <c r="A909" t="s">
        <v>3</v>
      </c>
      <c r="B909" t="s">
        <v>64</v>
      </c>
      <c r="G909">
        <v>1844.3652371616495</v>
      </c>
    </row>
    <row r="910" spans="1:7" x14ac:dyDescent="0.35">
      <c r="A910" t="s">
        <v>3</v>
      </c>
      <c r="B910" t="s">
        <v>65</v>
      </c>
      <c r="G910">
        <v>2037.8018264676828</v>
      </c>
    </row>
    <row r="911" spans="1:7" x14ac:dyDescent="0.35">
      <c r="A911" t="s">
        <v>3</v>
      </c>
      <c r="B911" t="s">
        <v>66</v>
      </c>
      <c r="G911">
        <v>1467.4706591016961</v>
      </c>
    </row>
    <row r="912" spans="1:7" x14ac:dyDescent="0.35">
      <c r="A912" t="s">
        <v>3</v>
      </c>
      <c r="B912" t="s">
        <v>47</v>
      </c>
      <c r="G912">
        <v>8933.0587014890352</v>
      </c>
    </row>
    <row r="913" spans="1:7" x14ac:dyDescent="0.35">
      <c r="A913" t="s">
        <v>4</v>
      </c>
      <c r="B913" t="s">
        <v>61</v>
      </c>
      <c r="G913">
        <v>0</v>
      </c>
    </row>
    <row r="914" spans="1:7" x14ac:dyDescent="0.35">
      <c r="A914" t="s">
        <v>4</v>
      </c>
      <c r="B914" t="s">
        <v>62</v>
      </c>
      <c r="G914">
        <v>213.99618536486929</v>
      </c>
    </row>
    <row r="915" spans="1:7" x14ac:dyDescent="0.35">
      <c r="A915" t="s">
        <v>4</v>
      </c>
      <c r="B915" t="s">
        <v>63</v>
      </c>
      <c r="G915">
        <v>334.17595116358899</v>
      </c>
    </row>
    <row r="916" spans="1:7" x14ac:dyDescent="0.35">
      <c r="A916" t="s">
        <v>4</v>
      </c>
      <c r="B916" t="s">
        <v>64</v>
      </c>
      <c r="G916">
        <v>326.51634511404387</v>
      </c>
    </row>
    <row r="917" spans="1:7" x14ac:dyDescent="0.35">
      <c r="A917" t="s">
        <v>4</v>
      </c>
      <c r="B917" t="s">
        <v>65</v>
      </c>
      <c r="G917">
        <v>375.47513568433448</v>
      </c>
    </row>
    <row r="918" spans="1:7" x14ac:dyDescent="0.35">
      <c r="A918" t="s">
        <v>4</v>
      </c>
      <c r="B918" t="s">
        <v>66</v>
      </c>
      <c r="G918">
        <v>245.02891276676354</v>
      </c>
    </row>
    <row r="919" spans="1:7" x14ac:dyDescent="0.35">
      <c r="A919" t="s">
        <v>4</v>
      </c>
      <c r="B919" t="s">
        <v>47</v>
      </c>
      <c r="G919">
        <v>1408.5635141939183</v>
      </c>
    </row>
    <row r="920" spans="1:7" x14ac:dyDescent="0.35">
      <c r="A920" t="s">
        <v>5</v>
      </c>
      <c r="B920" t="s">
        <v>61</v>
      </c>
      <c r="G920">
        <v>6.9799143857276107</v>
      </c>
    </row>
    <row r="921" spans="1:7" x14ac:dyDescent="0.35">
      <c r="A921" t="s">
        <v>5</v>
      </c>
      <c r="B921" t="s">
        <v>62</v>
      </c>
      <c r="G921">
        <v>192.91313209638187</v>
      </c>
    </row>
    <row r="922" spans="1:7" x14ac:dyDescent="0.35">
      <c r="A922" t="s">
        <v>5</v>
      </c>
      <c r="B922" t="s">
        <v>63</v>
      </c>
      <c r="G922">
        <v>282.16453363940707</v>
      </c>
    </row>
    <row r="923" spans="1:7" x14ac:dyDescent="0.35">
      <c r="A923" t="s">
        <v>5</v>
      </c>
      <c r="B923" t="s">
        <v>64</v>
      </c>
      <c r="G923">
        <v>275.81005223321426</v>
      </c>
    </row>
    <row r="924" spans="1:7" x14ac:dyDescent="0.35">
      <c r="A924" t="s">
        <v>5</v>
      </c>
      <c r="B924" t="s">
        <v>65</v>
      </c>
      <c r="G924">
        <v>311.48508776172719</v>
      </c>
    </row>
    <row r="925" spans="1:7" x14ac:dyDescent="0.35">
      <c r="A925" t="s">
        <v>5</v>
      </c>
      <c r="B925" t="s">
        <v>66</v>
      </c>
      <c r="G925">
        <v>212.67730139074925</v>
      </c>
    </row>
    <row r="926" spans="1:7" x14ac:dyDescent="0.35">
      <c r="A926" t="s">
        <v>5</v>
      </c>
      <c r="B926" t="s">
        <v>47</v>
      </c>
      <c r="G926">
        <v>1255.4727218323508</v>
      </c>
    </row>
    <row r="927" spans="1:7" x14ac:dyDescent="0.35">
      <c r="A927" t="s">
        <v>6</v>
      </c>
      <c r="B927" t="s">
        <v>61</v>
      </c>
      <c r="G927">
        <v>14.644447614033915</v>
      </c>
    </row>
    <row r="928" spans="1:7" x14ac:dyDescent="0.35">
      <c r="A928" t="s">
        <v>6</v>
      </c>
      <c r="B928" t="s">
        <v>62</v>
      </c>
      <c r="G928">
        <v>66.769956872191855</v>
      </c>
    </row>
    <row r="929" spans="1:7" x14ac:dyDescent="0.35">
      <c r="A929" t="s">
        <v>6</v>
      </c>
      <c r="B929" t="s">
        <v>63</v>
      </c>
      <c r="G929">
        <v>91.781879892460267</v>
      </c>
    </row>
    <row r="930" spans="1:7" x14ac:dyDescent="0.35">
      <c r="A930" t="s">
        <v>6</v>
      </c>
      <c r="B930" t="s">
        <v>64</v>
      </c>
      <c r="G930">
        <v>89.752059250506534</v>
      </c>
    </row>
    <row r="931" spans="1:7" x14ac:dyDescent="0.35">
      <c r="A931" t="s">
        <v>6</v>
      </c>
      <c r="B931" t="s">
        <v>65</v>
      </c>
      <c r="G931">
        <v>99.493879848330579</v>
      </c>
    </row>
    <row r="932" spans="1:7" x14ac:dyDescent="0.35">
      <c r="A932" t="s">
        <v>6</v>
      </c>
      <c r="B932" t="s">
        <v>66</v>
      </c>
      <c r="G932">
        <v>71.08152883078651</v>
      </c>
    </row>
    <row r="933" spans="1:7" x14ac:dyDescent="0.35">
      <c r="A933" t="s">
        <v>6</v>
      </c>
      <c r="B933" t="s">
        <v>47</v>
      </c>
      <c r="G933">
        <v>430.48278319782571</v>
      </c>
    </row>
    <row r="934" spans="1:7" x14ac:dyDescent="0.35">
      <c r="A934" t="s">
        <v>7</v>
      </c>
      <c r="B934" t="s">
        <v>61</v>
      </c>
      <c r="G934">
        <v>202.12571488166719</v>
      </c>
    </row>
    <row r="935" spans="1:7" x14ac:dyDescent="0.35">
      <c r="A935" t="s">
        <v>7</v>
      </c>
      <c r="B935" t="s">
        <v>62</v>
      </c>
      <c r="G935">
        <v>890.09676365186817</v>
      </c>
    </row>
    <row r="936" spans="1:7" x14ac:dyDescent="0.35">
      <c r="A936" t="s">
        <v>7</v>
      </c>
      <c r="B936" t="s">
        <v>63</v>
      </c>
      <c r="G936">
        <v>1220.2065625697721</v>
      </c>
    </row>
    <row r="937" spans="1:7" x14ac:dyDescent="0.35">
      <c r="A937" t="s">
        <v>7</v>
      </c>
      <c r="B937" t="s">
        <v>64</v>
      </c>
      <c r="G937">
        <v>1193.2431557853756</v>
      </c>
    </row>
    <row r="938" spans="1:7" x14ac:dyDescent="0.35">
      <c r="A938" t="s">
        <v>7</v>
      </c>
      <c r="B938" t="s">
        <v>65</v>
      </c>
      <c r="G938">
        <v>1321.6383028313517</v>
      </c>
    </row>
    <row r="939" spans="1:7" x14ac:dyDescent="0.35">
      <c r="A939" t="s">
        <v>7</v>
      </c>
      <c r="B939" t="s">
        <v>66</v>
      </c>
      <c r="G939">
        <v>946.14568194092112</v>
      </c>
    </row>
    <row r="940" spans="1:7" x14ac:dyDescent="0.35">
      <c r="A940" t="s">
        <v>7</v>
      </c>
      <c r="B940" t="s">
        <v>47</v>
      </c>
      <c r="G940">
        <v>5740.9113571966445</v>
      </c>
    </row>
    <row r="941" spans="1:7" x14ac:dyDescent="0.35">
      <c r="A941" t="s">
        <v>8</v>
      </c>
      <c r="B941" t="s">
        <v>61</v>
      </c>
      <c r="G941">
        <v>118.0115947307031</v>
      </c>
    </row>
    <row r="942" spans="1:7" x14ac:dyDescent="0.35">
      <c r="A942" t="s">
        <v>8</v>
      </c>
      <c r="B942" t="s">
        <v>62</v>
      </c>
      <c r="G942">
        <v>440.98259205432038</v>
      </c>
    </row>
    <row r="943" spans="1:7" x14ac:dyDescent="0.35">
      <c r="A943" t="s">
        <v>8</v>
      </c>
      <c r="B943" t="s">
        <v>63</v>
      </c>
      <c r="G943">
        <v>595.93713936075824</v>
      </c>
    </row>
    <row r="944" spans="1:7" x14ac:dyDescent="0.35">
      <c r="A944" t="s">
        <v>8</v>
      </c>
      <c r="B944" t="s">
        <v>64</v>
      </c>
      <c r="G944">
        <v>582.82640299888374</v>
      </c>
    </row>
    <row r="945" spans="1:7" x14ac:dyDescent="0.35">
      <c r="A945" t="s">
        <v>8</v>
      </c>
      <c r="B945" t="s">
        <v>65</v>
      </c>
      <c r="G945">
        <v>642.62911681484866</v>
      </c>
    </row>
    <row r="946" spans="1:7" x14ac:dyDescent="0.35">
      <c r="A946" t="s">
        <v>8</v>
      </c>
      <c r="B946" t="s">
        <v>66</v>
      </c>
      <c r="G946">
        <v>465.05479049558647</v>
      </c>
    </row>
    <row r="947" spans="1:7" x14ac:dyDescent="0.35">
      <c r="A947" t="s">
        <v>8</v>
      </c>
      <c r="B947" t="s">
        <v>47</v>
      </c>
      <c r="G947">
        <v>2838.7697989739086</v>
      </c>
    </row>
    <row r="948" spans="1:7" x14ac:dyDescent="0.35">
      <c r="A948" t="s">
        <v>9</v>
      </c>
      <c r="B948" t="s">
        <v>61</v>
      </c>
      <c r="G948">
        <v>18.838067744739909</v>
      </c>
    </row>
    <row r="949" spans="1:7" x14ac:dyDescent="0.35">
      <c r="A949" t="s">
        <v>9</v>
      </c>
      <c r="B949" t="s">
        <v>62</v>
      </c>
      <c r="G949">
        <v>88.748342772564243</v>
      </c>
    </row>
    <row r="950" spans="1:7" x14ac:dyDescent="0.35">
      <c r="A950" t="s">
        <v>9</v>
      </c>
      <c r="B950" t="s">
        <v>63</v>
      </c>
      <c r="G950">
        <v>122.29470211917389</v>
      </c>
    </row>
    <row r="951" spans="1:7" x14ac:dyDescent="0.35">
      <c r="A951" t="s">
        <v>9</v>
      </c>
      <c r="B951" t="s">
        <v>64</v>
      </c>
      <c r="G951">
        <v>119.5880426588498</v>
      </c>
    </row>
    <row r="952" spans="1:7" x14ac:dyDescent="0.35">
      <c r="A952" t="s">
        <v>9</v>
      </c>
      <c r="B952" t="s">
        <v>65</v>
      </c>
      <c r="G952">
        <v>132.67010983862119</v>
      </c>
    </row>
    <row r="953" spans="1:7" x14ac:dyDescent="0.35">
      <c r="A953" t="s">
        <v>9</v>
      </c>
      <c r="B953" t="s">
        <v>66</v>
      </c>
      <c r="G953">
        <v>94.608776241068199</v>
      </c>
    </row>
    <row r="954" spans="1:7" x14ac:dyDescent="0.35">
      <c r="A954" t="s">
        <v>9</v>
      </c>
      <c r="B954" t="s">
        <v>47</v>
      </c>
      <c r="G954">
        <v>573.63318444897982</v>
      </c>
    </row>
    <row r="955" spans="1:7" x14ac:dyDescent="0.35">
      <c r="A955" t="s">
        <v>10</v>
      </c>
      <c r="B955" t="s">
        <v>61</v>
      </c>
      <c r="G955">
        <v>101.77326844940116</v>
      </c>
    </row>
    <row r="956" spans="1:7" x14ac:dyDescent="0.35">
      <c r="A956" t="s">
        <v>10</v>
      </c>
      <c r="B956" t="s">
        <v>62</v>
      </c>
      <c r="G956">
        <v>420.36898725473884</v>
      </c>
    </row>
    <row r="957" spans="1:7" x14ac:dyDescent="0.35">
      <c r="A957" t="s">
        <v>10</v>
      </c>
      <c r="B957" t="s">
        <v>63</v>
      </c>
      <c r="G957">
        <v>573.23508982979479</v>
      </c>
    </row>
    <row r="958" spans="1:7" x14ac:dyDescent="0.35">
      <c r="A958" t="s">
        <v>10</v>
      </c>
      <c r="B958" t="s">
        <v>64</v>
      </c>
      <c r="G958">
        <v>560.58854701829273</v>
      </c>
    </row>
    <row r="959" spans="1:7" x14ac:dyDescent="0.35">
      <c r="A959" t="s">
        <v>10</v>
      </c>
      <c r="B959" t="s">
        <v>65</v>
      </c>
      <c r="G959">
        <v>619.88054907395565</v>
      </c>
    </row>
    <row r="960" spans="1:7" x14ac:dyDescent="0.35">
      <c r="A960" t="s">
        <v>10</v>
      </c>
      <c r="B960" t="s">
        <v>66</v>
      </c>
      <c r="G960">
        <v>445.53341350904151</v>
      </c>
    </row>
    <row r="961" spans="1:7" x14ac:dyDescent="0.35">
      <c r="A961" t="s">
        <v>10</v>
      </c>
      <c r="B961" t="s">
        <v>47</v>
      </c>
      <c r="G961">
        <v>2786.2937805200008</v>
      </c>
    </row>
    <row r="962" spans="1:7" x14ac:dyDescent="0.35">
      <c r="A962" t="s">
        <v>11</v>
      </c>
      <c r="B962" t="s">
        <v>61</v>
      </c>
      <c r="G962">
        <v>1375.512274976252</v>
      </c>
    </row>
    <row r="963" spans="1:7" x14ac:dyDescent="0.35">
      <c r="A963" t="s">
        <v>11</v>
      </c>
      <c r="B963" t="s">
        <v>62</v>
      </c>
      <c r="G963">
        <v>5608.2334784723807</v>
      </c>
    </row>
    <row r="964" spans="1:7" x14ac:dyDescent="0.35">
      <c r="A964" t="s">
        <v>11</v>
      </c>
      <c r="B964" t="s">
        <v>63</v>
      </c>
      <c r="G964">
        <v>7639.1274827642155</v>
      </c>
    </row>
    <row r="965" spans="1:7" x14ac:dyDescent="0.35">
      <c r="A965" t="s">
        <v>11</v>
      </c>
      <c r="B965" t="s">
        <v>64</v>
      </c>
      <c r="G965">
        <v>7470.6531004220578</v>
      </c>
    </row>
    <row r="966" spans="1:7" x14ac:dyDescent="0.35">
      <c r="A966" t="s">
        <v>11</v>
      </c>
      <c r="B966" t="s">
        <v>65</v>
      </c>
      <c r="G966">
        <v>8257.9017316968275</v>
      </c>
    </row>
    <row r="967" spans="1:7" x14ac:dyDescent="0.35">
      <c r="A967" t="s">
        <v>11</v>
      </c>
      <c r="B967" t="s">
        <v>66</v>
      </c>
      <c r="G967">
        <v>5940.2900117660456</v>
      </c>
    </row>
    <row r="968" spans="1:7" x14ac:dyDescent="0.35">
      <c r="A968" t="s">
        <v>11</v>
      </c>
      <c r="B968" t="s">
        <v>47</v>
      </c>
      <c r="G968">
        <v>36141.40968105472</v>
      </c>
    </row>
    <row r="969" spans="1:7" x14ac:dyDescent="0.35">
      <c r="A969" t="s">
        <v>12</v>
      </c>
      <c r="B969" t="s">
        <v>61</v>
      </c>
      <c r="G969">
        <v>2412.0716801165272</v>
      </c>
    </row>
    <row r="970" spans="1:7" x14ac:dyDescent="0.35">
      <c r="A970" t="s">
        <v>12</v>
      </c>
      <c r="B970" t="s">
        <v>62</v>
      </c>
      <c r="G970">
        <v>8835.2510191099736</v>
      </c>
    </row>
    <row r="971" spans="1:7" x14ac:dyDescent="0.35">
      <c r="A971" t="s">
        <v>12</v>
      </c>
      <c r="B971" t="s">
        <v>63</v>
      </c>
      <c r="G971">
        <v>11916.906843737224</v>
      </c>
    </row>
    <row r="972" spans="1:7" x14ac:dyDescent="0.35">
      <c r="A972" t="s">
        <v>12</v>
      </c>
      <c r="B972" t="s">
        <v>64</v>
      </c>
      <c r="G972">
        <v>11654.889241958632</v>
      </c>
    </row>
    <row r="973" spans="1:7" x14ac:dyDescent="0.35">
      <c r="A973" t="s">
        <v>12</v>
      </c>
      <c r="B973" t="s">
        <v>65</v>
      </c>
      <c r="G973">
        <v>12842.90188777458</v>
      </c>
    </row>
    <row r="974" spans="1:7" x14ac:dyDescent="0.35">
      <c r="A974" t="s">
        <v>12</v>
      </c>
      <c r="B974" t="s">
        <v>66</v>
      </c>
      <c r="G974">
        <v>9307.6885067135736</v>
      </c>
    </row>
    <row r="975" spans="1:7" x14ac:dyDescent="0.35">
      <c r="A975" t="s">
        <v>12</v>
      </c>
      <c r="B975" t="s">
        <v>47</v>
      </c>
      <c r="G975">
        <v>56860.251153204284</v>
      </c>
    </row>
    <row r="976" spans="1:7" x14ac:dyDescent="0.35">
      <c r="A976" t="s">
        <v>13</v>
      </c>
      <c r="B976" t="s">
        <v>61</v>
      </c>
      <c r="G976">
        <v>0</v>
      </c>
    </row>
    <row r="977" spans="1:7" x14ac:dyDescent="0.35">
      <c r="A977" t="s">
        <v>13</v>
      </c>
      <c r="B977" t="s">
        <v>62</v>
      </c>
      <c r="G977">
        <v>429.30783106028332</v>
      </c>
    </row>
    <row r="978" spans="1:7" x14ac:dyDescent="0.35">
      <c r="A978" t="s">
        <v>13</v>
      </c>
      <c r="B978" t="s">
        <v>63</v>
      </c>
      <c r="G978">
        <v>642.92582699383752</v>
      </c>
    </row>
    <row r="979" spans="1:7" x14ac:dyDescent="0.35">
      <c r="A979" t="s">
        <v>13</v>
      </c>
      <c r="B979" t="s">
        <v>64</v>
      </c>
      <c r="G979">
        <v>628.35205070739664</v>
      </c>
    </row>
    <row r="980" spans="1:7" x14ac:dyDescent="0.35">
      <c r="A980" t="s">
        <v>13</v>
      </c>
      <c r="B980" t="s">
        <v>65</v>
      </c>
      <c r="G980">
        <v>714.39071028867738</v>
      </c>
    </row>
    <row r="981" spans="1:7" x14ac:dyDescent="0.35">
      <c r="A981" t="s">
        <v>13</v>
      </c>
      <c r="B981" t="s">
        <v>66</v>
      </c>
      <c r="G981">
        <v>479.74280012454221</v>
      </c>
    </row>
    <row r="982" spans="1:7" x14ac:dyDescent="0.35">
      <c r="A982" t="s">
        <v>13</v>
      </c>
      <c r="B982" t="s">
        <v>47</v>
      </c>
      <c r="G982">
        <v>2805.841635836121</v>
      </c>
    </row>
    <row r="983" spans="1:7" x14ac:dyDescent="0.35">
      <c r="A983" t="s">
        <v>14</v>
      </c>
      <c r="B983" t="s">
        <v>61</v>
      </c>
      <c r="G983">
        <v>52.974300340751</v>
      </c>
    </row>
    <row r="984" spans="1:7" x14ac:dyDescent="0.35">
      <c r="A984" t="s">
        <v>14</v>
      </c>
      <c r="B984" t="s">
        <v>62</v>
      </c>
      <c r="G984">
        <v>556.47640010534303</v>
      </c>
    </row>
    <row r="985" spans="1:7" x14ac:dyDescent="0.35">
      <c r="A985" t="s">
        <v>14</v>
      </c>
      <c r="B985" t="s">
        <v>63</v>
      </c>
      <c r="G985">
        <v>798.14181956776383</v>
      </c>
    </row>
    <row r="986" spans="1:7" x14ac:dyDescent="0.35">
      <c r="A986" t="s">
        <v>14</v>
      </c>
      <c r="B986" t="s">
        <v>64</v>
      </c>
      <c r="G986">
        <v>780.2670518113423</v>
      </c>
    </row>
    <row r="987" spans="1:7" x14ac:dyDescent="0.35">
      <c r="A987" t="s">
        <v>14</v>
      </c>
      <c r="B987" t="s">
        <v>65</v>
      </c>
      <c r="G987">
        <v>876.17716348245312</v>
      </c>
    </row>
    <row r="988" spans="1:7" x14ac:dyDescent="0.35">
      <c r="A988" t="s">
        <v>14</v>
      </c>
      <c r="B988" t="s">
        <v>66</v>
      </c>
      <c r="G988">
        <v>606.69614517384457</v>
      </c>
    </row>
    <row r="989" spans="1:7" x14ac:dyDescent="0.35">
      <c r="A989" t="s">
        <v>14</v>
      </c>
      <c r="B989" t="s">
        <v>47</v>
      </c>
      <c r="G989">
        <v>3612.5101557711487</v>
      </c>
    </row>
    <row r="990" spans="1:7" x14ac:dyDescent="0.35">
      <c r="A990" t="s">
        <v>15</v>
      </c>
      <c r="B990" t="s">
        <v>61</v>
      </c>
      <c r="G990">
        <v>138.33592093693068</v>
      </c>
    </row>
    <row r="991" spans="1:7" x14ac:dyDescent="0.35">
      <c r="A991" t="s">
        <v>15</v>
      </c>
      <c r="B991" t="s">
        <v>62</v>
      </c>
      <c r="G991">
        <v>554.81992323696841</v>
      </c>
    </row>
    <row r="992" spans="1:7" x14ac:dyDescent="0.35">
      <c r="A992" t="s">
        <v>15</v>
      </c>
      <c r="B992" t="s">
        <v>63</v>
      </c>
      <c r="G992">
        <v>754.65013959978876</v>
      </c>
    </row>
    <row r="993" spans="1:7" x14ac:dyDescent="0.35">
      <c r="A993" t="s">
        <v>15</v>
      </c>
      <c r="B993" t="s">
        <v>64</v>
      </c>
      <c r="G993">
        <v>738.0143436633839</v>
      </c>
    </row>
    <row r="994" spans="1:7" x14ac:dyDescent="0.35">
      <c r="A994" t="s">
        <v>15</v>
      </c>
      <c r="B994" t="s">
        <v>65</v>
      </c>
      <c r="G994">
        <v>815.41550756632751</v>
      </c>
    </row>
    <row r="995" spans="1:7" x14ac:dyDescent="0.35">
      <c r="A995" t="s">
        <v>15</v>
      </c>
      <c r="B995" t="s">
        <v>66</v>
      </c>
      <c r="G995">
        <v>587.20330718219316</v>
      </c>
    </row>
    <row r="996" spans="1:7" x14ac:dyDescent="0.35">
      <c r="A996" t="s">
        <v>15</v>
      </c>
      <c r="B996" t="s">
        <v>47</v>
      </c>
      <c r="G996">
        <v>3574.6924037734921</v>
      </c>
    </row>
    <row r="997" spans="1:7" x14ac:dyDescent="0.35">
      <c r="A997" t="s">
        <v>16</v>
      </c>
      <c r="B997" t="s">
        <v>61</v>
      </c>
      <c r="G997">
        <v>1112.4373934176717</v>
      </c>
    </row>
    <row r="998" spans="1:7" x14ac:dyDescent="0.35">
      <c r="A998" t="s">
        <v>16</v>
      </c>
      <c r="B998" t="s">
        <v>62</v>
      </c>
      <c r="G998">
        <v>4689.3335177760382</v>
      </c>
    </row>
    <row r="999" spans="1:7" x14ac:dyDescent="0.35">
      <c r="A999" t="s">
        <v>16</v>
      </c>
      <c r="B999" t="s">
        <v>63</v>
      </c>
      <c r="G999">
        <v>6405.5939001772103</v>
      </c>
    </row>
    <row r="1000" spans="1:7" x14ac:dyDescent="0.35">
      <c r="A1000" t="s">
        <v>16</v>
      </c>
      <c r="B1000" t="s">
        <v>64</v>
      </c>
      <c r="G1000">
        <v>6264.2010527359025</v>
      </c>
    </row>
    <row r="1001" spans="1:7" x14ac:dyDescent="0.35">
      <c r="A1001" t="s">
        <v>16</v>
      </c>
      <c r="B1001" t="s">
        <v>65</v>
      </c>
      <c r="G1001">
        <v>6930.4937047990552</v>
      </c>
    </row>
    <row r="1002" spans="1:7" x14ac:dyDescent="0.35">
      <c r="A1002" t="s">
        <v>16</v>
      </c>
      <c r="B1002" t="s">
        <v>66</v>
      </c>
      <c r="G1002">
        <v>4974.7800191335782</v>
      </c>
    </row>
    <row r="1003" spans="1:7" x14ac:dyDescent="0.35">
      <c r="A1003" t="s">
        <v>16</v>
      </c>
      <c r="B1003" t="s">
        <v>47</v>
      </c>
      <c r="G1003">
        <v>30233.549279890445</v>
      </c>
    </row>
    <row r="1004" spans="1:7" x14ac:dyDescent="0.35">
      <c r="A1004" t="s">
        <v>17</v>
      </c>
      <c r="B1004" t="s">
        <v>61</v>
      </c>
      <c r="G1004">
        <v>11.105173595398938</v>
      </c>
    </row>
    <row r="1005" spans="1:7" x14ac:dyDescent="0.35">
      <c r="A1005" t="s">
        <v>17</v>
      </c>
      <c r="B1005" t="s">
        <v>62</v>
      </c>
      <c r="G1005">
        <v>99.390471286066074</v>
      </c>
    </row>
    <row r="1006" spans="1:7" x14ac:dyDescent="0.35">
      <c r="A1006" t="s">
        <v>17</v>
      </c>
      <c r="B1006" t="s">
        <v>63</v>
      </c>
      <c r="G1006">
        <v>141.76335070416371</v>
      </c>
    </row>
    <row r="1007" spans="1:7" x14ac:dyDescent="0.35">
      <c r="A1007" t="s">
        <v>17</v>
      </c>
      <c r="B1007" t="s">
        <v>64</v>
      </c>
      <c r="G1007">
        <v>138.59358485798131</v>
      </c>
    </row>
    <row r="1008" spans="1:7" x14ac:dyDescent="0.35">
      <c r="A1008" t="s">
        <v>17</v>
      </c>
      <c r="B1008" t="s">
        <v>65</v>
      </c>
      <c r="G1008">
        <v>155.3735452899038</v>
      </c>
    </row>
    <row r="1009" spans="1:7" x14ac:dyDescent="0.35">
      <c r="A1009" t="s">
        <v>17</v>
      </c>
      <c r="B1009" t="s">
        <v>66</v>
      </c>
      <c r="G1009">
        <v>108.02013392777471</v>
      </c>
    </row>
    <row r="1010" spans="1:7" x14ac:dyDescent="0.35">
      <c r="A1010" t="s">
        <v>17</v>
      </c>
      <c r="B1010" t="s">
        <v>47</v>
      </c>
      <c r="G1010">
        <v>644.0540835358338</v>
      </c>
    </row>
    <row r="1011" spans="1:7" x14ac:dyDescent="0.35">
      <c r="A1011" t="s">
        <v>18</v>
      </c>
      <c r="B1011" t="s">
        <v>61</v>
      </c>
      <c r="G1011">
        <v>24.711374754699563</v>
      </c>
    </row>
    <row r="1012" spans="1:7" x14ac:dyDescent="0.35">
      <c r="A1012" t="s">
        <v>18</v>
      </c>
      <c r="B1012" t="s">
        <v>62</v>
      </c>
      <c r="G1012">
        <v>172.27078565757392</v>
      </c>
    </row>
    <row r="1013" spans="1:7" x14ac:dyDescent="0.35">
      <c r="A1013" t="s">
        <v>18</v>
      </c>
      <c r="B1013" t="s">
        <v>63</v>
      </c>
      <c r="G1013">
        <v>243.08800767341987</v>
      </c>
    </row>
    <row r="1014" spans="1:7" x14ac:dyDescent="0.35">
      <c r="A1014" t="s">
        <v>18</v>
      </c>
      <c r="B1014" t="s">
        <v>64</v>
      </c>
      <c r="G1014">
        <v>237.66968728917229</v>
      </c>
    </row>
    <row r="1015" spans="1:7" x14ac:dyDescent="0.35">
      <c r="A1015" t="s">
        <v>18</v>
      </c>
      <c r="B1015" t="s">
        <v>65</v>
      </c>
      <c r="G1015">
        <v>265.58979690657577</v>
      </c>
    </row>
    <row r="1016" spans="1:7" x14ac:dyDescent="0.35">
      <c r="A1016" t="s">
        <v>18</v>
      </c>
      <c r="B1016" t="s">
        <v>66</v>
      </c>
      <c r="G1016">
        <v>186.09848435929831</v>
      </c>
    </row>
    <row r="1017" spans="1:7" x14ac:dyDescent="0.35">
      <c r="A1017" t="s">
        <v>18</v>
      </c>
      <c r="B1017" t="s">
        <v>47</v>
      </c>
      <c r="G1017">
        <v>1115.4376810418057</v>
      </c>
    </row>
    <row r="1018" spans="1:7" x14ac:dyDescent="0.35">
      <c r="A1018" t="s">
        <v>19</v>
      </c>
      <c r="B1018" t="s">
        <v>61</v>
      </c>
      <c r="G1018">
        <v>60.039532436093708</v>
      </c>
    </row>
    <row r="1019" spans="1:7" x14ac:dyDescent="0.35">
      <c r="A1019" t="s">
        <v>19</v>
      </c>
      <c r="B1019" t="s">
        <v>62</v>
      </c>
      <c r="G1019">
        <v>210.87269239551009</v>
      </c>
    </row>
    <row r="1020" spans="1:7" x14ac:dyDescent="0.35">
      <c r="A1020" t="s">
        <v>19</v>
      </c>
      <c r="B1020" t="s">
        <v>63</v>
      </c>
      <c r="G1020">
        <v>283.23559563760932</v>
      </c>
    </row>
    <row r="1021" spans="1:7" x14ac:dyDescent="0.35">
      <c r="A1021" t="s">
        <v>19</v>
      </c>
      <c r="B1021" t="s">
        <v>64</v>
      </c>
      <c r="G1021">
        <v>277.01621902311012</v>
      </c>
    </row>
    <row r="1022" spans="1:7" x14ac:dyDescent="0.35">
      <c r="A1022" t="s">
        <v>19</v>
      </c>
      <c r="B1022" t="s">
        <v>65</v>
      </c>
      <c r="G1022">
        <v>304.84438721838723</v>
      </c>
    </row>
    <row r="1023" spans="1:7" x14ac:dyDescent="0.35">
      <c r="A1023" t="s">
        <v>19</v>
      </c>
      <c r="B1023" t="s">
        <v>66</v>
      </c>
      <c r="G1023">
        <v>221.63758458181283</v>
      </c>
    </row>
    <row r="1024" spans="1:7" x14ac:dyDescent="0.35">
      <c r="A1024" t="s">
        <v>19</v>
      </c>
      <c r="B1024" t="s">
        <v>47</v>
      </c>
      <c r="G1024">
        <v>1355.9435080996584</v>
      </c>
    </row>
    <row r="1025" spans="1:7" x14ac:dyDescent="0.35">
      <c r="A1025" t="s">
        <v>20</v>
      </c>
      <c r="B1025" t="s">
        <v>61</v>
      </c>
      <c r="G1025">
        <v>3.7019678094223503</v>
      </c>
    </row>
    <row r="1026" spans="1:7" x14ac:dyDescent="0.35">
      <c r="A1026" t="s">
        <v>20</v>
      </c>
      <c r="B1026" t="s">
        <v>62</v>
      </c>
      <c r="G1026">
        <v>18.576570810263995</v>
      </c>
    </row>
    <row r="1027" spans="1:7" x14ac:dyDescent="0.35">
      <c r="A1027" t="s">
        <v>20</v>
      </c>
      <c r="B1027" t="s">
        <v>63</v>
      </c>
      <c r="G1027">
        <v>25.714354916759806</v>
      </c>
    </row>
    <row r="1028" spans="1:7" x14ac:dyDescent="0.35">
      <c r="A1028" t="s">
        <v>20</v>
      </c>
      <c r="B1028" t="s">
        <v>64</v>
      </c>
      <c r="G1028">
        <v>25.144460151600249</v>
      </c>
    </row>
    <row r="1029" spans="1:7" x14ac:dyDescent="0.35">
      <c r="A1029" t="s">
        <v>20</v>
      </c>
      <c r="B1029" t="s">
        <v>65</v>
      </c>
      <c r="G1029">
        <v>27.934154929334522</v>
      </c>
    </row>
    <row r="1030" spans="1:7" x14ac:dyDescent="0.35">
      <c r="A1030" t="s">
        <v>20</v>
      </c>
      <c r="B1030" t="s">
        <v>66</v>
      </c>
      <c r="G1030">
        <v>19.853138952004457</v>
      </c>
    </row>
    <row r="1031" spans="1:7" x14ac:dyDescent="0.35">
      <c r="A1031" t="s">
        <v>20</v>
      </c>
      <c r="B1031" t="s">
        <v>47</v>
      </c>
      <c r="G1031">
        <v>119.99131423605206</v>
      </c>
    </row>
    <row r="1032" spans="1:7" x14ac:dyDescent="0.35">
      <c r="A1032" t="s">
        <v>21</v>
      </c>
      <c r="B1032" t="s">
        <v>61</v>
      </c>
      <c r="G1032">
        <v>436.32807867075621</v>
      </c>
    </row>
    <row r="1033" spans="1:7" x14ac:dyDescent="0.35">
      <c r="A1033" t="s">
        <v>21</v>
      </c>
      <c r="B1033" t="s">
        <v>62</v>
      </c>
      <c r="G1033">
        <v>1565.9540942078106</v>
      </c>
    </row>
    <row r="1034" spans="1:7" x14ac:dyDescent="0.35">
      <c r="A1034" t="s">
        <v>21</v>
      </c>
      <c r="B1034" t="s">
        <v>63</v>
      </c>
      <c r="G1034">
        <v>2107.9071337773066</v>
      </c>
    </row>
    <row r="1035" spans="1:7" x14ac:dyDescent="0.35">
      <c r="A1035" t="s">
        <v>21</v>
      </c>
      <c r="B1035" t="s">
        <v>64</v>
      </c>
      <c r="G1035">
        <v>2061.5895170573062</v>
      </c>
    </row>
    <row r="1036" spans="1:7" x14ac:dyDescent="0.35">
      <c r="A1036" t="s">
        <v>21</v>
      </c>
      <c r="B1036" t="s">
        <v>65</v>
      </c>
      <c r="G1036">
        <v>2270.2738930070464</v>
      </c>
    </row>
    <row r="1037" spans="1:7" x14ac:dyDescent="0.35">
      <c r="A1037" t="s">
        <v>21</v>
      </c>
      <c r="B1037" t="s">
        <v>66</v>
      </c>
      <c r="G1037">
        <v>1647.8657012704348</v>
      </c>
    </row>
    <row r="1038" spans="1:7" x14ac:dyDescent="0.35">
      <c r="A1038" t="s">
        <v>21</v>
      </c>
      <c r="B1038" t="s">
        <v>47</v>
      </c>
      <c r="G1038">
        <v>10075.446009666306</v>
      </c>
    </row>
    <row r="1039" spans="1:7" x14ac:dyDescent="0.35">
      <c r="A1039" t="s">
        <v>22</v>
      </c>
      <c r="B1039" t="s">
        <v>61</v>
      </c>
      <c r="G1039">
        <v>286.57810331907694</v>
      </c>
    </row>
    <row r="1040" spans="1:7" x14ac:dyDescent="0.35">
      <c r="A1040" t="s">
        <v>22</v>
      </c>
      <c r="B1040" t="s">
        <v>62</v>
      </c>
      <c r="G1040">
        <v>2501.7913577740173</v>
      </c>
    </row>
    <row r="1041" spans="1:7" x14ac:dyDescent="0.35">
      <c r="A1041" t="s">
        <v>22</v>
      </c>
      <c r="B1041" t="s">
        <v>63</v>
      </c>
      <c r="G1041">
        <v>3564.9859526872824</v>
      </c>
    </row>
    <row r="1042" spans="1:7" x14ac:dyDescent="0.35">
      <c r="A1042" t="s">
        <v>22</v>
      </c>
      <c r="B1042" t="s">
        <v>64</v>
      </c>
      <c r="G1042">
        <v>3485.2963944311691</v>
      </c>
    </row>
    <row r="1043" spans="1:7" x14ac:dyDescent="0.35">
      <c r="A1043" t="s">
        <v>22</v>
      </c>
      <c r="B1043" t="s">
        <v>65</v>
      </c>
      <c r="G1043">
        <v>3906.1690417077207</v>
      </c>
    </row>
    <row r="1044" spans="1:7" x14ac:dyDescent="0.35">
      <c r="A1044" t="s">
        <v>22</v>
      </c>
      <c r="B1044" t="s">
        <v>66</v>
      </c>
      <c r="G1044">
        <v>2717.5542964224423</v>
      </c>
    </row>
    <row r="1045" spans="1:7" x14ac:dyDescent="0.35">
      <c r="A1045" t="s">
        <v>22</v>
      </c>
      <c r="B1045" t="s">
        <v>47</v>
      </c>
      <c r="G1045">
        <v>16228.032997793365</v>
      </c>
    </row>
    <row r="1046" spans="1:7" x14ac:dyDescent="0.35">
      <c r="A1046" t="s">
        <v>23</v>
      </c>
      <c r="B1046" t="s">
        <v>61</v>
      </c>
      <c r="G1046">
        <v>112.17003515406995</v>
      </c>
    </row>
    <row r="1047" spans="1:7" x14ac:dyDescent="0.35">
      <c r="A1047" t="s">
        <v>23</v>
      </c>
      <c r="B1047" t="s">
        <v>62</v>
      </c>
      <c r="G1047">
        <v>541.82580757830272</v>
      </c>
    </row>
    <row r="1048" spans="1:7" x14ac:dyDescent="0.35">
      <c r="A1048" t="s">
        <v>23</v>
      </c>
      <c r="B1048" t="s">
        <v>63</v>
      </c>
      <c r="G1048">
        <v>747.99824064926349</v>
      </c>
    </row>
    <row r="1049" spans="1:7" x14ac:dyDescent="0.35">
      <c r="A1049" t="s">
        <v>23</v>
      </c>
      <c r="B1049" t="s">
        <v>64</v>
      </c>
      <c r="G1049">
        <v>731.43418277241585</v>
      </c>
    </row>
    <row r="1050" spans="1:7" x14ac:dyDescent="0.35">
      <c r="A1050" t="s">
        <v>23</v>
      </c>
      <c r="B1050" t="s">
        <v>65</v>
      </c>
      <c r="G1050">
        <v>811.90791784216833</v>
      </c>
    </row>
    <row r="1051" spans="1:7" x14ac:dyDescent="0.35">
      <c r="A1051" t="s">
        <v>23</v>
      </c>
      <c r="B1051" t="s">
        <v>66</v>
      </c>
      <c r="G1051">
        <v>578.19225200683684</v>
      </c>
    </row>
    <row r="1052" spans="1:7" x14ac:dyDescent="0.35">
      <c r="A1052" t="s">
        <v>23</v>
      </c>
      <c r="B1052" t="s">
        <v>47</v>
      </c>
      <c r="G1052">
        <v>3498.0770968903335</v>
      </c>
    </row>
    <row r="1053" spans="1:7" x14ac:dyDescent="0.35">
      <c r="A1053" t="s">
        <v>24</v>
      </c>
      <c r="B1053" t="s">
        <v>61</v>
      </c>
      <c r="G1053">
        <v>0</v>
      </c>
    </row>
    <row r="1054" spans="1:7" x14ac:dyDescent="0.35">
      <c r="A1054" t="s">
        <v>24</v>
      </c>
      <c r="B1054" t="s">
        <v>62</v>
      </c>
      <c r="G1054">
        <v>636.7883819568641</v>
      </c>
    </row>
    <row r="1055" spans="1:7" x14ac:dyDescent="0.35">
      <c r="A1055" t="s">
        <v>24</v>
      </c>
      <c r="B1055" t="s">
        <v>63</v>
      </c>
      <c r="G1055">
        <v>966.89234364810522</v>
      </c>
    </row>
    <row r="1056" spans="1:7" x14ac:dyDescent="0.35">
      <c r="A1056" t="s">
        <v>24</v>
      </c>
      <c r="B1056" t="s">
        <v>64</v>
      </c>
      <c r="G1056">
        <v>944.89317550283567</v>
      </c>
    </row>
    <row r="1057" spans="1:7" x14ac:dyDescent="0.35">
      <c r="A1057" t="s">
        <v>24</v>
      </c>
      <c r="B1057" t="s">
        <v>65</v>
      </c>
      <c r="G1057">
        <v>1078.3846053010889</v>
      </c>
    </row>
    <row r="1058" spans="1:7" x14ac:dyDescent="0.35">
      <c r="A1058" t="s">
        <v>24</v>
      </c>
      <c r="B1058" t="s">
        <v>66</v>
      </c>
      <c r="G1058">
        <v>717.29631267047614</v>
      </c>
    </row>
    <row r="1059" spans="1:7" x14ac:dyDescent="0.35">
      <c r="A1059" t="s">
        <v>24</v>
      </c>
      <c r="B1059" t="s">
        <v>47</v>
      </c>
      <c r="G1059">
        <v>4170.07766737168</v>
      </c>
    </row>
    <row r="1060" spans="1:7" x14ac:dyDescent="0.35">
      <c r="A1060" t="s">
        <v>25</v>
      </c>
      <c r="B1060" t="s">
        <v>61</v>
      </c>
      <c r="G1060">
        <v>28.264211011019128</v>
      </c>
    </row>
    <row r="1061" spans="1:7" x14ac:dyDescent="0.35">
      <c r="A1061" t="s">
        <v>25</v>
      </c>
      <c r="B1061" t="s">
        <v>62</v>
      </c>
      <c r="G1061">
        <v>300.37656738995071</v>
      </c>
    </row>
    <row r="1062" spans="1:7" x14ac:dyDescent="0.35">
      <c r="A1062" t="s">
        <v>25</v>
      </c>
      <c r="B1062" t="s">
        <v>63</v>
      </c>
      <c r="G1062">
        <v>430.98234126264765</v>
      </c>
    </row>
    <row r="1063" spans="1:7" x14ac:dyDescent="0.35">
      <c r="A1063" t="s">
        <v>25</v>
      </c>
      <c r="B1063" t="s">
        <v>64</v>
      </c>
      <c r="G1063">
        <v>421.3292619054148</v>
      </c>
    </row>
    <row r="1064" spans="1:7" x14ac:dyDescent="0.35">
      <c r="A1064" t="s">
        <v>25</v>
      </c>
      <c r="B1064" t="s">
        <v>65</v>
      </c>
      <c r="G1064">
        <v>473.17033139758621</v>
      </c>
    </row>
    <row r="1065" spans="1:7" x14ac:dyDescent="0.35">
      <c r="A1065" t="s">
        <v>25</v>
      </c>
      <c r="B1065" t="s">
        <v>66</v>
      </c>
      <c r="G1065">
        <v>327.55267506127893</v>
      </c>
    </row>
    <row r="1066" spans="1:7" x14ac:dyDescent="0.35">
      <c r="A1066" t="s">
        <v>25</v>
      </c>
      <c r="B1066" t="s">
        <v>47</v>
      </c>
      <c r="G1066">
        <v>1949.3243632375184</v>
      </c>
    </row>
    <row r="1067" spans="1:7" x14ac:dyDescent="0.35">
      <c r="A1067" t="s">
        <v>26</v>
      </c>
      <c r="B1067" t="s">
        <v>61</v>
      </c>
      <c r="G1067">
        <v>41.742590508570522</v>
      </c>
    </row>
    <row r="1068" spans="1:7" x14ac:dyDescent="0.35">
      <c r="A1068" t="s">
        <v>26</v>
      </c>
      <c r="B1068" t="s">
        <v>62</v>
      </c>
      <c r="G1068">
        <v>188.56776231819524</v>
      </c>
    </row>
    <row r="1069" spans="1:7" x14ac:dyDescent="0.35">
      <c r="A1069" t="s">
        <v>26</v>
      </c>
      <c r="B1069" t="s">
        <v>63</v>
      </c>
      <c r="G1069">
        <v>259.02004456043949</v>
      </c>
    </row>
    <row r="1070" spans="1:7" x14ac:dyDescent="0.35">
      <c r="A1070" t="s">
        <v>26</v>
      </c>
      <c r="B1070" t="s">
        <v>64</v>
      </c>
      <c r="G1070">
        <v>253.29287794111536</v>
      </c>
    </row>
    <row r="1071" spans="1:7" x14ac:dyDescent="0.35">
      <c r="A1071" t="s">
        <v>26</v>
      </c>
      <c r="B1071" t="s">
        <v>65</v>
      </c>
      <c r="G1071">
        <v>280.7231946602505</v>
      </c>
    </row>
    <row r="1072" spans="1:7" x14ac:dyDescent="0.35">
      <c r="A1072" t="s">
        <v>26</v>
      </c>
      <c r="B1072" t="s">
        <v>66</v>
      </c>
      <c r="G1072">
        <v>200.66470523377828</v>
      </c>
    </row>
    <row r="1073" spans="1:7" x14ac:dyDescent="0.35">
      <c r="A1073" t="s">
        <v>26</v>
      </c>
      <c r="B1073" t="s">
        <v>47</v>
      </c>
      <c r="G1073">
        <v>1216.595679377855</v>
      </c>
    </row>
    <row r="1074" spans="1:7" x14ac:dyDescent="0.35">
      <c r="A1074" t="s">
        <v>27</v>
      </c>
      <c r="B1074" t="s">
        <v>61</v>
      </c>
      <c r="G1074">
        <v>562.20580255439972</v>
      </c>
    </row>
    <row r="1075" spans="1:7" x14ac:dyDescent="0.35">
      <c r="A1075" t="s">
        <v>27</v>
      </c>
      <c r="B1075" t="s">
        <v>62</v>
      </c>
      <c r="G1075">
        <v>2811.498742409558</v>
      </c>
    </row>
    <row r="1076" spans="1:7" x14ac:dyDescent="0.35">
      <c r="A1076" t="s">
        <v>27</v>
      </c>
      <c r="B1076" t="s">
        <v>63</v>
      </c>
      <c r="G1076">
        <v>3890.8513273100907</v>
      </c>
    </row>
    <row r="1077" spans="1:7" x14ac:dyDescent="0.35">
      <c r="A1077" t="s">
        <v>27</v>
      </c>
      <c r="B1077" t="s">
        <v>64</v>
      </c>
      <c r="G1077">
        <v>3804.6264608871861</v>
      </c>
    </row>
    <row r="1078" spans="1:7" x14ac:dyDescent="0.35">
      <c r="A1078" t="s">
        <v>27</v>
      </c>
      <c r="B1078" t="s">
        <v>65</v>
      </c>
      <c r="G1078">
        <v>4226.4265570347761</v>
      </c>
    </row>
    <row r="1079" spans="1:7" x14ac:dyDescent="0.35">
      <c r="A1079" t="s">
        <v>27</v>
      </c>
      <c r="B1079" t="s">
        <v>66</v>
      </c>
      <c r="G1079">
        <v>3004.3045212965312</v>
      </c>
    </row>
    <row r="1080" spans="1:7" x14ac:dyDescent="0.35">
      <c r="A1080" t="s">
        <v>27</v>
      </c>
      <c r="B1080" t="s">
        <v>47</v>
      </c>
      <c r="G1080">
        <v>18159.718534619547</v>
      </c>
    </row>
    <row r="1081" spans="1:7" x14ac:dyDescent="0.35">
      <c r="A1081" t="s">
        <v>28</v>
      </c>
      <c r="B1081" t="s">
        <v>61</v>
      </c>
      <c r="G1081">
        <v>132.59876765314453</v>
      </c>
    </row>
    <row r="1082" spans="1:7" x14ac:dyDescent="0.35">
      <c r="A1082" t="s">
        <v>28</v>
      </c>
      <c r="B1082" t="s">
        <v>62</v>
      </c>
      <c r="G1082">
        <v>500.57360292817606</v>
      </c>
    </row>
    <row r="1083" spans="1:7" x14ac:dyDescent="0.35">
      <c r="A1083" t="s">
        <v>28</v>
      </c>
      <c r="B1083" t="s">
        <v>63</v>
      </c>
      <c r="G1083">
        <v>677.12138478882457</v>
      </c>
    </row>
    <row r="1084" spans="1:7" x14ac:dyDescent="0.35">
      <c r="A1084" t="s">
        <v>28</v>
      </c>
      <c r="B1084" t="s">
        <v>64</v>
      </c>
      <c r="G1084">
        <v>662.22010675104229</v>
      </c>
    </row>
    <row r="1085" spans="1:7" x14ac:dyDescent="0.35">
      <c r="A1085" t="s">
        <v>28</v>
      </c>
      <c r="B1085" t="s">
        <v>65</v>
      </c>
      <c r="G1085">
        <v>730.39390823629685</v>
      </c>
    </row>
    <row r="1086" spans="1:7" x14ac:dyDescent="0.35">
      <c r="A1086" t="s">
        <v>28</v>
      </c>
      <c r="B1086" t="s">
        <v>66</v>
      </c>
      <c r="G1086">
        <v>528.18000758470089</v>
      </c>
    </row>
    <row r="1087" spans="1:7" x14ac:dyDescent="0.35">
      <c r="A1087" t="s">
        <v>28</v>
      </c>
      <c r="B1087" t="s">
        <v>47</v>
      </c>
      <c r="G1087">
        <v>3223.6823675953901</v>
      </c>
    </row>
    <row r="1088" spans="1:7" x14ac:dyDescent="0.35">
      <c r="A1088" t="s">
        <v>29</v>
      </c>
      <c r="B1088" t="s">
        <v>72</v>
      </c>
      <c r="G1088">
        <v>0</v>
      </c>
    </row>
    <row r="1089" spans="1:8" x14ac:dyDescent="0.35">
      <c r="A1089" t="s">
        <v>29</v>
      </c>
      <c r="B1089" t="s">
        <v>61</v>
      </c>
      <c r="G1089">
        <v>7871.5765492790042</v>
      </c>
    </row>
    <row r="1090" spans="1:8" x14ac:dyDescent="0.35">
      <c r="A1090" t="s">
        <v>29</v>
      </c>
      <c r="B1090" t="s">
        <v>62</v>
      </c>
      <c r="G1090">
        <v>34918.294873855579</v>
      </c>
    </row>
    <row r="1091" spans="1:8" x14ac:dyDescent="0.35">
      <c r="A1091" t="s">
        <v>29</v>
      </c>
      <c r="B1091" t="s">
        <v>63</v>
      </c>
      <c r="G1091">
        <v>47945.600418247326</v>
      </c>
    </row>
    <row r="1092" spans="1:8" x14ac:dyDescent="0.35">
      <c r="A1092" t="s">
        <v>29</v>
      </c>
      <c r="B1092" t="s">
        <v>64</v>
      </c>
      <c r="G1092">
        <v>46885.606434071953</v>
      </c>
    </row>
    <row r="1093" spans="1:8" x14ac:dyDescent="0.35">
      <c r="A1093" t="s">
        <v>29</v>
      </c>
      <c r="B1093" t="s">
        <v>65</v>
      </c>
      <c r="G1093">
        <v>51956.723706736659</v>
      </c>
    </row>
    <row r="1094" spans="1:8" x14ac:dyDescent="0.35">
      <c r="A1094" t="s">
        <v>29</v>
      </c>
      <c r="B1094" t="s">
        <v>66</v>
      </c>
      <c r="G1094">
        <v>37150.278805904214</v>
      </c>
    </row>
    <row r="1095" spans="1:8" x14ac:dyDescent="0.35">
      <c r="A1095" t="s">
        <v>29</v>
      </c>
      <c r="B1095" t="s">
        <v>47</v>
      </c>
      <c r="G1095">
        <v>225361.13409639636</v>
      </c>
    </row>
    <row r="1096" spans="1:8" x14ac:dyDescent="0.35">
      <c r="A1096" t="s">
        <v>2</v>
      </c>
      <c r="B1096" t="s">
        <v>72</v>
      </c>
      <c r="H1096">
        <v>47.466666666666669</v>
      </c>
    </row>
    <row r="1097" spans="1:8" x14ac:dyDescent="0.35">
      <c r="A1097" t="s">
        <v>2</v>
      </c>
      <c r="B1097" t="s">
        <v>61</v>
      </c>
      <c r="H1097">
        <v>402.08549180469458</v>
      </c>
    </row>
    <row r="1098" spans="1:8" x14ac:dyDescent="0.35">
      <c r="A1098" t="s">
        <v>2</v>
      </c>
      <c r="B1098" t="s">
        <v>62</v>
      </c>
      <c r="H1098">
        <v>1120.572837518944</v>
      </c>
    </row>
    <row r="1099" spans="1:8" x14ac:dyDescent="0.35">
      <c r="A1099" t="s">
        <v>2</v>
      </c>
      <c r="B1099" t="s">
        <v>63</v>
      </c>
      <c r="H1099">
        <v>1465.1854438883104</v>
      </c>
    </row>
    <row r="1100" spans="1:8" x14ac:dyDescent="0.35">
      <c r="A1100" t="s">
        <v>2</v>
      </c>
      <c r="B1100" t="s">
        <v>64</v>
      </c>
      <c r="H1100">
        <v>1433.287155315408</v>
      </c>
    </row>
    <row r="1101" spans="1:8" x14ac:dyDescent="0.35">
      <c r="A1101" t="s">
        <v>2</v>
      </c>
      <c r="B1101" t="s">
        <v>65</v>
      </c>
      <c r="H1101">
        <v>1563.4709926100879</v>
      </c>
    </row>
    <row r="1102" spans="1:8" x14ac:dyDescent="0.35">
      <c r="A1102" t="s">
        <v>2</v>
      </c>
      <c r="B1102" t="s">
        <v>66</v>
      </c>
      <c r="H1102">
        <v>1160.6038048331288</v>
      </c>
    </row>
    <row r="1103" spans="1:8" x14ac:dyDescent="0.35">
      <c r="A1103" t="s">
        <v>2</v>
      </c>
      <c r="B1103" t="s">
        <v>47</v>
      </c>
      <c r="H1103">
        <v>7192.6723926372397</v>
      </c>
    </row>
    <row r="1104" spans="1:8" x14ac:dyDescent="0.35">
      <c r="A1104" t="s">
        <v>2</v>
      </c>
      <c r="B1104" t="s">
        <v>46</v>
      </c>
      <c r="H1104">
        <v>7145.2057259705743</v>
      </c>
    </row>
    <row r="1105" spans="1:8" x14ac:dyDescent="0.35">
      <c r="A1105" t="s">
        <v>3</v>
      </c>
      <c r="B1105" t="s">
        <v>72</v>
      </c>
      <c r="H1105">
        <v>136</v>
      </c>
    </row>
    <row r="1106" spans="1:8" x14ac:dyDescent="0.35">
      <c r="A1106" t="s">
        <v>3</v>
      </c>
      <c r="B1106" t="s">
        <v>61</v>
      </c>
      <c r="H1106">
        <v>716.28750907991912</v>
      </c>
    </row>
    <row r="1107" spans="1:8" x14ac:dyDescent="0.35">
      <c r="A1107" t="s">
        <v>3</v>
      </c>
      <c r="B1107" t="s">
        <v>62</v>
      </c>
      <c r="H1107">
        <v>1743.537069796422</v>
      </c>
    </row>
    <row r="1108" spans="1:8" x14ac:dyDescent="0.35">
      <c r="A1108" t="s">
        <v>3</v>
      </c>
      <c r="B1108" t="s">
        <v>63</v>
      </c>
      <c r="H1108">
        <v>2236.1396919947761</v>
      </c>
    </row>
    <row r="1109" spans="1:8" x14ac:dyDescent="0.35">
      <c r="A1109" t="s">
        <v>3</v>
      </c>
      <c r="B1109" t="s">
        <v>64</v>
      </c>
      <c r="H1109">
        <v>2187.7652371616496</v>
      </c>
    </row>
    <row r="1110" spans="1:8" x14ac:dyDescent="0.35">
      <c r="A1110" t="s">
        <v>3</v>
      </c>
      <c r="B1110" t="s">
        <v>65</v>
      </c>
      <c r="H1110">
        <v>2371.0018264676828</v>
      </c>
    </row>
    <row r="1111" spans="1:8" x14ac:dyDescent="0.35">
      <c r="A1111" t="s">
        <v>3</v>
      </c>
      <c r="B1111" t="s">
        <v>66</v>
      </c>
      <c r="H1111">
        <v>1787.0706591016963</v>
      </c>
    </row>
    <row r="1112" spans="1:8" x14ac:dyDescent="0.35">
      <c r="A1112" t="s">
        <v>3</v>
      </c>
      <c r="B1112" t="s">
        <v>47</v>
      </c>
      <c r="H1112">
        <v>11177.801993602146</v>
      </c>
    </row>
    <row r="1113" spans="1:8" x14ac:dyDescent="0.35">
      <c r="A1113" t="s">
        <v>3</v>
      </c>
      <c r="B1113" t="s">
        <v>46</v>
      </c>
      <c r="H1113">
        <v>11041.801993602146</v>
      </c>
    </row>
    <row r="1114" spans="1:8" x14ac:dyDescent="0.35">
      <c r="A1114" t="s">
        <v>4</v>
      </c>
      <c r="B1114" t="s">
        <v>72</v>
      </c>
      <c r="H1114">
        <v>205.33333333333334</v>
      </c>
    </row>
    <row r="1115" spans="1:8" x14ac:dyDescent="0.35">
      <c r="A1115" t="s">
        <v>4</v>
      </c>
      <c r="B1115" t="s">
        <v>61</v>
      </c>
      <c r="H1115">
        <v>559.5333333333333</v>
      </c>
    </row>
    <row r="1116" spans="1:8" x14ac:dyDescent="0.35">
      <c r="A1116" t="s">
        <v>4</v>
      </c>
      <c r="B1116" t="s">
        <v>62</v>
      </c>
      <c r="H1116">
        <v>752.99618536486923</v>
      </c>
    </row>
    <row r="1117" spans="1:8" x14ac:dyDescent="0.35">
      <c r="A1117" t="s">
        <v>4</v>
      </c>
      <c r="B1117" t="s">
        <v>63</v>
      </c>
      <c r="H1117">
        <v>862.90928449692228</v>
      </c>
    </row>
    <row r="1118" spans="1:8" x14ac:dyDescent="0.35">
      <c r="A1118" t="s">
        <v>4</v>
      </c>
      <c r="B1118" t="s">
        <v>64</v>
      </c>
      <c r="H1118">
        <v>844.98301178071051</v>
      </c>
    </row>
    <row r="1119" spans="1:8" x14ac:dyDescent="0.35">
      <c r="A1119" t="s">
        <v>4</v>
      </c>
      <c r="B1119" t="s">
        <v>65</v>
      </c>
      <c r="H1119">
        <v>878.54180235100114</v>
      </c>
    </row>
    <row r="1120" spans="1:8" x14ac:dyDescent="0.35">
      <c r="A1120" t="s">
        <v>4</v>
      </c>
      <c r="B1120" t="s">
        <v>66</v>
      </c>
      <c r="H1120">
        <v>727.5622461000969</v>
      </c>
    </row>
    <row r="1121" spans="1:8" x14ac:dyDescent="0.35">
      <c r="A1121" t="s">
        <v>4</v>
      </c>
      <c r="B1121" t="s">
        <v>47</v>
      </c>
      <c r="H1121">
        <v>4831.859196760267</v>
      </c>
    </row>
    <row r="1122" spans="1:8" x14ac:dyDescent="0.35">
      <c r="A1122" t="s">
        <v>4</v>
      </c>
      <c r="B1122" t="s">
        <v>46</v>
      </c>
      <c r="H1122">
        <v>4626.525863426933</v>
      </c>
    </row>
    <row r="1123" spans="1:8" x14ac:dyDescent="0.35">
      <c r="A1123" t="s">
        <v>5</v>
      </c>
      <c r="B1123" t="s">
        <v>72</v>
      </c>
      <c r="H1123">
        <v>103.46666666666668</v>
      </c>
    </row>
    <row r="1124" spans="1:8" x14ac:dyDescent="0.35">
      <c r="A1124" t="s">
        <v>5</v>
      </c>
      <c r="B1124" t="s">
        <v>61</v>
      </c>
      <c r="H1124">
        <v>288.92658105239428</v>
      </c>
    </row>
    <row r="1125" spans="1:8" x14ac:dyDescent="0.35">
      <c r="A1125" t="s">
        <v>5</v>
      </c>
      <c r="B1125" t="s">
        <v>62</v>
      </c>
      <c r="H1125">
        <v>464.51313209638192</v>
      </c>
    </row>
    <row r="1126" spans="1:8" x14ac:dyDescent="0.35">
      <c r="A1126" t="s">
        <v>5</v>
      </c>
      <c r="B1126" t="s">
        <v>63</v>
      </c>
      <c r="H1126">
        <v>548.59120030607369</v>
      </c>
    </row>
    <row r="1127" spans="1:8" x14ac:dyDescent="0.35">
      <c r="A1127" t="s">
        <v>5</v>
      </c>
      <c r="B1127" t="s">
        <v>64</v>
      </c>
      <c r="H1127">
        <v>537.06338556654759</v>
      </c>
    </row>
    <row r="1128" spans="1:8" x14ac:dyDescent="0.35">
      <c r="A1128" t="s">
        <v>5</v>
      </c>
      <c r="B1128" t="s">
        <v>65</v>
      </c>
      <c r="H1128">
        <v>564.97842109506053</v>
      </c>
    </row>
    <row r="1129" spans="1:8" x14ac:dyDescent="0.35">
      <c r="A1129" t="s">
        <v>5</v>
      </c>
      <c r="B1129" t="s">
        <v>66</v>
      </c>
      <c r="H1129">
        <v>455.82396805741593</v>
      </c>
    </row>
    <row r="1130" spans="1:8" x14ac:dyDescent="0.35">
      <c r="A1130" t="s">
        <v>5</v>
      </c>
      <c r="B1130" t="s">
        <v>47</v>
      </c>
      <c r="H1130">
        <v>2963.363354840541</v>
      </c>
    </row>
    <row r="1131" spans="1:8" x14ac:dyDescent="0.35">
      <c r="A1131" t="s">
        <v>5</v>
      </c>
      <c r="B1131" t="s">
        <v>46</v>
      </c>
      <c r="H1131">
        <v>2859.8966881738743</v>
      </c>
    </row>
    <row r="1132" spans="1:8" x14ac:dyDescent="0.35">
      <c r="A1132" t="s">
        <v>6</v>
      </c>
      <c r="B1132" t="s">
        <v>72</v>
      </c>
      <c r="H1132">
        <v>10.666666666666666</v>
      </c>
    </row>
    <row r="1133" spans="1:8" x14ac:dyDescent="0.35">
      <c r="A1133" t="s">
        <v>6</v>
      </c>
      <c r="B1133" t="s">
        <v>61</v>
      </c>
      <c r="H1133">
        <v>43.711114280700585</v>
      </c>
    </row>
    <row r="1134" spans="1:8" x14ac:dyDescent="0.35">
      <c r="A1134" t="s">
        <v>6</v>
      </c>
      <c r="B1134" t="s">
        <v>62</v>
      </c>
      <c r="H1134">
        <v>94.769956872191855</v>
      </c>
    </row>
    <row r="1135" spans="1:8" x14ac:dyDescent="0.35">
      <c r="A1135" t="s">
        <v>6</v>
      </c>
      <c r="B1135" t="s">
        <v>63</v>
      </c>
      <c r="H1135">
        <v>119.24854655912694</v>
      </c>
    </row>
    <row r="1136" spans="1:8" x14ac:dyDescent="0.35">
      <c r="A1136" t="s">
        <v>6</v>
      </c>
      <c r="B1136" t="s">
        <v>64</v>
      </c>
      <c r="H1136">
        <v>116.68539258383987</v>
      </c>
    </row>
    <row r="1137" spans="1:8" x14ac:dyDescent="0.35">
      <c r="A1137" t="s">
        <v>6</v>
      </c>
      <c r="B1137" t="s">
        <v>65</v>
      </c>
      <c r="H1137">
        <v>125.6272131816639</v>
      </c>
    </row>
    <row r="1138" spans="1:8" x14ac:dyDescent="0.35">
      <c r="A1138" t="s">
        <v>6</v>
      </c>
      <c r="B1138" t="s">
        <v>66</v>
      </c>
      <c r="H1138">
        <v>96.148195497453173</v>
      </c>
    </row>
    <row r="1139" spans="1:8" x14ac:dyDescent="0.35">
      <c r="A1139" t="s">
        <v>6</v>
      </c>
      <c r="B1139" t="s">
        <v>47</v>
      </c>
      <c r="H1139">
        <v>606.85708564164293</v>
      </c>
    </row>
    <row r="1140" spans="1:8" x14ac:dyDescent="0.35">
      <c r="A1140" t="s">
        <v>6</v>
      </c>
      <c r="B1140" t="s">
        <v>46</v>
      </c>
      <c r="H1140">
        <v>596.19041897497641</v>
      </c>
    </row>
    <row r="1141" spans="1:8" x14ac:dyDescent="0.35">
      <c r="A1141" t="s">
        <v>7</v>
      </c>
      <c r="B1141" t="s">
        <v>72</v>
      </c>
      <c r="H1141">
        <v>128</v>
      </c>
    </row>
    <row r="1142" spans="1:8" x14ac:dyDescent="0.35">
      <c r="A1142" t="s">
        <v>7</v>
      </c>
      <c r="B1142" t="s">
        <v>61</v>
      </c>
      <c r="H1142">
        <v>550.9257148816672</v>
      </c>
    </row>
    <row r="1143" spans="1:8" x14ac:dyDescent="0.35">
      <c r="A1143" t="s">
        <v>7</v>
      </c>
      <c r="B1143" t="s">
        <v>62</v>
      </c>
      <c r="H1143">
        <v>1226.0967636518681</v>
      </c>
    </row>
    <row r="1144" spans="1:8" x14ac:dyDescent="0.35">
      <c r="A1144" t="s">
        <v>7</v>
      </c>
      <c r="B1144" t="s">
        <v>63</v>
      </c>
      <c r="H1144">
        <v>1549.8065625697723</v>
      </c>
    </row>
    <row r="1145" spans="1:8" x14ac:dyDescent="0.35">
      <c r="A1145" t="s">
        <v>7</v>
      </c>
      <c r="B1145" t="s">
        <v>64</v>
      </c>
      <c r="H1145">
        <v>1516.4431557853757</v>
      </c>
    </row>
    <row r="1146" spans="1:8" x14ac:dyDescent="0.35">
      <c r="A1146" t="s">
        <v>7</v>
      </c>
      <c r="B1146" t="s">
        <v>65</v>
      </c>
      <c r="H1146">
        <v>1635.2383028313518</v>
      </c>
    </row>
    <row r="1147" spans="1:8" x14ac:dyDescent="0.35">
      <c r="A1147" t="s">
        <v>7</v>
      </c>
      <c r="B1147" t="s">
        <v>66</v>
      </c>
      <c r="H1147">
        <v>1246.9456819409211</v>
      </c>
    </row>
    <row r="1148" spans="1:8" x14ac:dyDescent="0.35">
      <c r="A1148" t="s">
        <v>7</v>
      </c>
      <c r="B1148" t="s">
        <v>47</v>
      </c>
      <c r="H1148">
        <v>7853.4561816609566</v>
      </c>
    </row>
    <row r="1149" spans="1:8" x14ac:dyDescent="0.35">
      <c r="A1149" t="s">
        <v>7</v>
      </c>
      <c r="B1149" t="s">
        <v>46</v>
      </c>
      <c r="H1149">
        <v>7725.4561816609566</v>
      </c>
    </row>
    <row r="1150" spans="1:8" x14ac:dyDescent="0.35">
      <c r="A1150" t="s">
        <v>8</v>
      </c>
      <c r="B1150" t="s">
        <v>72</v>
      </c>
      <c r="H1150">
        <v>26.666666666666668</v>
      </c>
    </row>
    <row r="1151" spans="1:8" x14ac:dyDescent="0.35">
      <c r="A1151" t="s">
        <v>8</v>
      </c>
      <c r="B1151" t="s">
        <v>61</v>
      </c>
      <c r="H1151">
        <v>190.67826139736977</v>
      </c>
    </row>
    <row r="1152" spans="1:8" x14ac:dyDescent="0.35">
      <c r="A1152" t="s">
        <v>8</v>
      </c>
      <c r="B1152" t="s">
        <v>62</v>
      </c>
      <c r="H1152">
        <v>510.98259205432038</v>
      </c>
    </row>
    <row r="1153" spans="1:8" x14ac:dyDescent="0.35">
      <c r="A1153" t="s">
        <v>8</v>
      </c>
      <c r="B1153" t="s">
        <v>63</v>
      </c>
      <c r="H1153">
        <v>664.60380602742487</v>
      </c>
    </row>
    <row r="1154" spans="1:8" x14ac:dyDescent="0.35">
      <c r="A1154" t="s">
        <v>8</v>
      </c>
      <c r="B1154" t="s">
        <v>64</v>
      </c>
      <c r="H1154">
        <v>650.15973633221711</v>
      </c>
    </row>
    <row r="1155" spans="1:8" x14ac:dyDescent="0.35">
      <c r="A1155" t="s">
        <v>8</v>
      </c>
      <c r="B1155" t="s">
        <v>65</v>
      </c>
      <c r="H1155">
        <v>707.96245014818203</v>
      </c>
    </row>
    <row r="1156" spans="1:8" x14ac:dyDescent="0.35">
      <c r="A1156" t="s">
        <v>8</v>
      </c>
      <c r="B1156" t="s">
        <v>66</v>
      </c>
      <c r="H1156">
        <v>527.72145716225316</v>
      </c>
    </row>
    <row r="1157" spans="1:8" x14ac:dyDescent="0.35">
      <c r="A1157" t="s">
        <v>8</v>
      </c>
      <c r="B1157" t="s">
        <v>47</v>
      </c>
      <c r="H1157">
        <v>3278.7749697884337</v>
      </c>
    </row>
    <row r="1158" spans="1:8" x14ac:dyDescent="0.35">
      <c r="A1158" t="s">
        <v>8</v>
      </c>
      <c r="B1158" t="s">
        <v>46</v>
      </c>
      <c r="H1158">
        <v>3252.1083031217672</v>
      </c>
    </row>
    <row r="1159" spans="1:8" x14ac:dyDescent="0.35">
      <c r="A1159" t="s">
        <v>9</v>
      </c>
      <c r="B1159" t="s">
        <v>72</v>
      </c>
      <c r="H1159">
        <v>15.466666666666667</v>
      </c>
    </row>
    <row r="1160" spans="1:8" x14ac:dyDescent="0.35">
      <c r="A1160" t="s">
        <v>9</v>
      </c>
      <c r="B1160" t="s">
        <v>61</v>
      </c>
      <c r="H1160">
        <v>60.984734411406578</v>
      </c>
    </row>
    <row r="1161" spans="1:8" x14ac:dyDescent="0.35">
      <c r="A1161" t="s">
        <v>9</v>
      </c>
      <c r="B1161" t="s">
        <v>62</v>
      </c>
      <c r="H1161">
        <v>129.34834277256425</v>
      </c>
    </row>
    <row r="1162" spans="1:8" x14ac:dyDescent="0.35">
      <c r="A1162" t="s">
        <v>9</v>
      </c>
      <c r="B1162" t="s">
        <v>63</v>
      </c>
      <c r="H1162">
        <v>162.12136878584056</v>
      </c>
    </row>
    <row r="1163" spans="1:8" x14ac:dyDescent="0.35">
      <c r="A1163" t="s">
        <v>9</v>
      </c>
      <c r="B1163" t="s">
        <v>64</v>
      </c>
      <c r="H1163">
        <v>158.64137599218313</v>
      </c>
    </row>
    <row r="1164" spans="1:8" x14ac:dyDescent="0.35">
      <c r="A1164" t="s">
        <v>9</v>
      </c>
      <c r="B1164" t="s">
        <v>65</v>
      </c>
      <c r="H1164">
        <v>170.5634431719545</v>
      </c>
    </row>
    <row r="1165" spans="1:8" x14ac:dyDescent="0.35">
      <c r="A1165" t="s">
        <v>9</v>
      </c>
      <c r="B1165" t="s">
        <v>66</v>
      </c>
      <c r="H1165">
        <v>130.95544290773486</v>
      </c>
    </row>
    <row r="1166" spans="1:8" x14ac:dyDescent="0.35">
      <c r="A1166" t="s">
        <v>9</v>
      </c>
      <c r="B1166" t="s">
        <v>47</v>
      </c>
      <c r="H1166">
        <v>828.08137470835061</v>
      </c>
    </row>
    <row r="1167" spans="1:8" x14ac:dyDescent="0.35">
      <c r="A1167" t="s">
        <v>9</v>
      </c>
      <c r="B1167" t="s">
        <v>46</v>
      </c>
      <c r="H1167">
        <v>812.61470804168391</v>
      </c>
    </row>
    <row r="1168" spans="1:8" x14ac:dyDescent="0.35">
      <c r="A1168" t="s">
        <v>10</v>
      </c>
      <c r="B1168" t="s">
        <v>72</v>
      </c>
      <c r="H1168">
        <v>47.466666666666669</v>
      </c>
    </row>
    <row r="1169" spans="1:8" x14ac:dyDescent="0.35">
      <c r="A1169" t="s">
        <v>10</v>
      </c>
      <c r="B1169" t="s">
        <v>61</v>
      </c>
      <c r="H1169">
        <v>231.11993511606784</v>
      </c>
    </row>
    <row r="1170" spans="1:8" x14ac:dyDescent="0.35">
      <c r="A1170" t="s">
        <v>10</v>
      </c>
      <c r="B1170" t="s">
        <v>62</v>
      </c>
      <c r="H1170">
        <v>544.96898725473886</v>
      </c>
    </row>
    <row r="1171" spans="1:8" x14ac:dyDescent="0.35">
      <c r="A1171" t="s">
        <v>10</v>
      </c>
      <c r="B1171" t="s">
        <v>63</v>
      </c>
      <c r="H1171">
        <v>695.46175649646148</v>
      </c>
    </row>
    <row r="1172" spans="1:8" x14ac:dyDescent="0.35">
      <c r="A1172" t="s">
        <v>10</v>
      </c>
      <c r="B1172" t="s">
        <v>64</v>
      </c>
      <c r="H1172">
        <v>680.44188035162608</v>
      </c>
    </row>
    <row r="1173" spans="1:8" x14ac:dyDescent="0.35">
      <c r="A1173" t="s">
        <v>10</v>
      </c>
      <c r="B1173" t="s">
        <v>65</v>
      </c>
      <c r="H1173">
        <v>736.17388240728906</v>
      </c>
    </row>
    <row r="1174" spans="1:8" x14ac:dyDescent="0.35">
      <c r="A1174" t="s">
        <v>10</v>
      </c>
      <c r="B1174" t="s">
        <v>66</v>
      </c>
      <c r="H1174">
        <v>557.08008017570819</v>
      </c>
    </row>
    <row r="1175" spans="1:8" x14ac:dyDescent="0.35">
      <c r="A1175" t="s">
        <v>10</v>
      </c>
      <c r="B1175" t="s">
        <v>47</v>
      </c>
      <c r="H1175">
        <v>3492.7131884685582</v>
      </c>
    </row>
    <row r="1176" spans="1:8" x14ac:dyDescent="0.35">
      <c r="A1176" t="s">
        <v>10</v>
      </c>
      <c r="B1176" t="s">
        <v>46</v>
      </c>
      <c r="H1176">
        <v>3445.2465218018915</v>
      </c>
    </row>
    <row r="1177" spans="1:8" x14ac:dyDescent="0.35">
      <c r="A1177" t="s">
        <v>11</v>
      </c>
      <c r="B1177" t="s">
        <v>72</v>
      </c>
      <c r="H1177">
        <v>596.80000000000007</v>
      </c>
    </row>
    <row r="1178" spans="1:8" x14ac:dyDescent="0.35">
      <c r="A1178" t="s">
        <v>11</v>
      </c>
      <c r="B1178" t="s">
        <v>61</v>
      </c>
      <c r="H1178">
        <v>3001.792274976252</v>
      </c>
    </row>
    <row r="1179" spans="1:8" x14ac:dyDescent="0.35">
      <c r="A1179" t="s">
        <v>11</v>
      </c>
      <c r="B1179" t="s">
        <v>62</v>
      </c>
      <c r="H1179">
        <v>7174.8334784723811</v>
      </c>
    </row>
    <row r="1180" spans="1:8" x14ac:dyDescent="0.35">
      <c r="A1180" t="s">
        <v>11</v>
      </c>
      <c r="B1180" t="s">
        <v>63</v>
      </c>
      <c r="H1180">
        <v>9175.8874827642157</v>
      </c>
    </row>
    <row r="1181" spans="1:8" x14ac:dyDescent="0.35">
      <c r="A1181" t="s">
        <v>11</v>
      </c>
      <c r="B1181" t="s">
        <v>64</v>
      </c>
      <c r="H1181">
        <v>8977.5731004220579</v>
      </c>
    </row>
    <row r="1182" spans="1:8" x14ac:dyDescent="0.35">
      <c r="A1182" t="s">
        <v>11</v>
      </c>
      <c r="B1182" t="s">
        <v>65</v>
      </c>
      <c r="H1182">
        <v>9720.0617316968273</v>
      </c>
    </row>
    <row r="1183" spans="1:8" x14ac:dyDescent="0.35">
      <c r="A1183" t="s">
        <v>11</v>
      </c>
      <c r="B1183" t="s">
        <v>66</v>
      </c>
      <c r="H1183">
        <v>7342.7700117660452</v>
      </c>
    </row>
    <row r="1184" spans="1:8" x14ac:dyDescent="0.35">
      <c r="A1184" t="s">
        <v>11</v>
      </c>
      <c r="B1184" t="s">
        <v>47</v>
      </c>
      <c r="H1184">
        <v>45989.71808009778</v>
      </c>
    </row>
    <row r="1185" spans="1:8" x14ac:dyDescent="0.35">
      <c r="A1185" t="s">
        <v>11</v>
      </c>
      <c r="B1185" t="s">
        <v>46</v>
      </c>
      <c r="H1185">
        <v>45392.918080097777</v>
      </c>
    </row>
    <row r="1186" spans="1:8" x14ac:dyDescent="0.35">
      <c r="A1186" t="s">
        <v>12</v>
      </c>
      <c r="B1186" t="s">
        <v>72</v>
      </c>
      <c r="H1186">
        <v>436.26666666666665</v>
      </c>
    </row>
    <row r="1187" spans="1:8" x14ac:dyDescent="0.35">
      <c r="A1187" t="s">
        <v>12</v>
      </c>
      <c r="B1187" t="s">
        <v>61</v>
      </c>
      <c r="H1187">
        <v>3600.898346783194</v>
      </c>
    </row>
    <row r="1188" spans="1:8" x14ac:dyDescent="0.35">
      <c r="A1188" t="s">
        <v>12</v>
      </c>
      <c r="B1188" t="s">
        <v>62</v>
      </c>
      <c r="H1188">
        <v>9980.4510191099725</v>
      </c>
    </row>
    <row r="1189" spans="1:8" x14ac:dyDescent="0.35">
      <c r="A1189" t="s">
        <v>12</v>
      </c>
      <c r="B1189" t="s">
        <v>63</v>
      </c>
      <c r="H1189">
        <v>13040.293510403892</v>
      </c>
    </row>
    <row r="1190" spans="1:8" x14ac:dyDescent="0.35">
      <c r="A1190" t="s">
        <v>12</v>
      </c>
      <c r="B1190" t="s">
        <v>64</v>
      </c>
      <c r="H1190">
        <v>12756.462575291966</v>
      </c>
    </row>
    <row r="1191" spans="1:8" x14ac:dyDescent="0.35">
      <c r="A1191" t="s">
        <v>12</v>
      </c>
      <c r="B1191" t="s">
        <v>65</v>
      </c>
      <c r="H1191">
        <v>13911.755221107913</v>
      </c>
    </row>
    <row r="1192" spans="1:8" x14ac:dyDescent="0.35">
      <c r="A1192" t="s">
        <v>12</v>
      </c>
      <c r="B1192" t="s">
        <v>66</v>
      </c>
      <c r="H1192">
        <v>10332.915173380241</v>
      </c>
    </row>
    <row r="1193" spans="1:8" x14ac:dyDescent="0.35">
      <c r="A1193" t="s">
        <v>12</v>
      </c>
      <c r="B1193" t="s">
        <v>47</v>
      </c>
      <c r="H1193">
        <v>64059.04251274385</v>
      </c>
    </row>
    <row r="1194" spans="1:8" x14ac:dyDescent="0.35">
      <c r="A1194" t="s">
        <v>12</v>
      </c>
      <c r="B1194" t="s">
        <v>46</v>
      </c>
      <c r="H1194">
        <v>63622.775846077173</v>
      </c>
    </row>
    <row r="1195" spans="1:8" x14ac:dyDescent="0.35">
      <c r="A1195" t="s">
        <v>13</v>
      </c>
      <c r="B1195" t="s">
        <v>72</v>
      </c>
      <c r="H1195">
        <v>294.39999999999998</v>
      </c>
    </row>
    <row r="1196" spans="1:8" x14ac:dyDescent="0.35">
      <c r="A1196" t="s">
        <v>13</v>
      </c>
      <c r="B1196" t="s">
        <v>61</v>
      </c>
      <c r="H1196">
        <v>802.2399999999999</v>
      </c>
    </row>
    <row r="1197" spans="1:8" x14ac:dyDescent="0.35">
      <c r="A1197" t="s">
        <v>13</v>
      </c>
      <c r="B1197" t="s">
        <v>62</v>
      </c>
      <c r="H1197">
        <v>1202.1078310602834</v>
      </c>
    </row>
    <row r="1198" spans="1:8" x14ac:dyDescent="0.35">
      <c r="A1198" t="s">
        <v>13</v>
      </c>
      <c r="B1198" t="s">
        <v>63</v>
      </c>
      <c r="H1198">
        <v>1401.0058269938374</v>
      </c>
    </row>
    <row r="1199" spans="1:8" x14ac:dyDescent="0.35">
      <c r="A1199" t="s">
        <v>13</v>
      </c>
      <c r="B1199" t="s">
        <v>64</v>
      </c>
      <c r="H1199">
        <v>1371.7120507073967</v>
      </c>
    </row>
    <row r="1200" spans="1:8" x14ac:dyDescent="0.35">
      <c r="A1200" t="s">
        <v>13</v>
      </c>
      <c r="B1200" t="s">
        <v>65</v>
      </c>
      <c r="H1200">
        <v>1435.6707102886776</v>
      </c>
    </row>
    <row r="1201" spans="1:8" x14ac:dyDescent="0.35">
      <c r="A1201" t="s">
        <v>13</v>
      </c>
      <c r="B1201" t="s">
        <v>66</v>
      </c>
      <c r="H1201">
        <v>1171.5828001245422</v>
      </c>
    </row>
    <row r="1202" spans="1:8" x14ac:dyDescent="0.35">
      <c r="A1202" t="s">
        <v>13</v>
      </c>
      <c r="B1202" t="s">
        <v>47</v>
      </c>
      <c r="H1202">
        <v>7678.7192191747381</v>
      </c>
    </row>
    <row r="1203" spans="1:8" x14ac:dyDescent="0.35">
      <c r="A1203" t="s">
        <v>13</v>
      </c>
      <c r="B1203" t="s">
        <v>46</v>
      </c>
      <c r="H1203">
        <v>7384.3192191747366</v>
      </c>
    </row>
    <row r="1204" spans="1:8" x14ac:dyDescent="0.35">
      <c r="A1204" t="s">
        <v>14</v>
      </c>
      <c r="B1204" t="s">
        <v>72</v>
      </c>
      <c r="H1204">
        <v>230.93333333333331</v>
      </c>
    </row>
    <row r="1205" spans="1:8" x14ac:dyDescent="0.35">
      <c r="A1205" t="s">
        <v>14</v>
      </c>
      <c r="B1205" t="s">
        <v>61</v>
      </c>
      <c r="H1205">
        <v>682.26763367408432</v>
      </c>
    </row>
    <row r="1206" spans="1:8" x14ac:dyDescent="0.35">
      <c r="A1206" t="s">
        <v>14</v>
      </c>
      <c r="B1206" t="s">
        <v>62</v>
      </c>
      <c r="H1206">
        <v>1162.676400105343</v>
      </c>
    </row>
    <row r="1207" spans="1:8" x14ac:dyDescent="0.35">
      <c r="A1207" t="s">
        <v>14</v>
      </c>
      <c r="B1207" t="s">
        <v>63</v>
      </c>
      <c r="H1207">
        <v>1392.795152901097</v>
      </c>
    </row>
    <row r="1208" spans="1:8" x14ac:dyDescent="0.35">
      <c r="A1208" t="s">
        <v>14</v>
      </c>
      <c r="B1208" t="s">
        <v>64</v>
      </c>
      <c r="H1208">
        <v>1363.3737184780089</v>
      </c>
    </row>
    <row r="1209" spans="1:8" x14ac:dyDescent="0.35">
      <c r="A1209" t="s">
        <v>14</v>
      </c>
      <c r="B1209" t="s">
        <v>65</v>
      </c>
      <c r="H1209">
        <v>1441.9638301491198</v>
      </c>
    </row>
    <row r="1210" spans="1:8" x14ac:dyDescent="0.35">
      <c r="A1210" t="s">
        <v>14</v>
      </c>
      <c r="B1210" t="s">
        <v>66</v>
      </c>
      <c r="H1210">
        <v>1149.389478507178</v>
      </c>
    </row>
    <row r="1211" spans="1:8" x14ac:dyDescent="0.35">
      <c r="A1211" t="s">
        <v>14</v>
      </c>
      <c r="B1211" t="s">
        <v>47</v>
      </c>
      <c r="H1211">
        <v>7423.3995471481639</v>
      </c>
    </row>
    <row r="1212" spans="1:8" x14ac:dyDescent="0.35">
      <c r="A1212" t="s">
        <v>14</v>
      </c>
      <c r="B1212" t="s">
        <v>46</v>
      </c>
      <c r="H1212">
        <v>7192.4662138148306</v>
      </c>
    </row>
    <row r="1213" spans="1:8" x14ac:dyDescent="0.35">
      <c r="A1213" t="s">
        <v>15</v>
      </c>
      <c r="B1213" t="s">
        <v>72</v>
      </c>
      <c r="H1213">
        <v>54.400000000000006</v>
      </c>
    </row>
    <row r="1214" spans="1:8" x14ac:dyDescent="0.35">
      <c r="A1214" t="s">
        <v>15</v>
      </c>
      <c r="B1214" t="s">
        <v>61</v>
      </c>
      <c r="H1214">
        <v>286.57592093693069</v>
      </c>
    </row>
    <row r="1215" spans="1:8" x14ac:dyDescent="0.35">
      <c r="A1215" t="s">
        <v>15</v>
      </c>
      <c r="B1215" t="s">
        <v>62</v>
      </c>
      <c r="H1215">
        <v>697.61992323696848</v>
      </c>
    </row>
    <row r="1216" spans="1:8" x14ac:dyDescent="0.35">
      <c r="A1216" t="s">
        <v>15</v>
      </c>
      <c r="B1216" t="s">
        <v>63</v>
      </c>
      <c r="H1216">
        <v>894.7301395997888</v>
      </c>
    </row>
    <row r="1217" spans="1:8" x14ac:dyDescent="0.35">
      <c r="A1217" t="s">
        <v>15</v>
      </c>
      <c r="B1217" t="s">
        <v>64</v>
      </c>
      <c r="H1217">
        <v>875.37434366338391</v>
      </c>
    </row>
    <row r="1218" spans="1:8" x14ac:dyDescent="0.35">
      <c r="A1218" t="s">
        <v>15</v>
      </c>
      <c r="B1218" t="s">
        <v>65</v>
      </c>
      <c r="H1218">
        <v>948.69550756632759</v>
      </c>
    </row>
    <row r="1219" spans="1:8" x14ac:dyDescent="0.35">
      <c r="A1219" t="s">
        <v>15</v>
      </c>
      <c r="B1219" t="s">
        <v>66</v>
      </c>
      <c r="H1219">
        <v>715.04330718219319</v>
      </c>
    </row>
    <row r="1220" spans="1:8" x14ac:dyDescent="0.35">
      <c r="A1220" t="s">
        <v>15</v>
      </c>
      <c r="B1220" t="s">
        <v>47</v>
      </c>
      <c r="H1220">
        <v>4472.4391421855926</v>
      </c>
    </row>
    <row r="1221" spans="1:8" x14ac:dyDescent="0.35">
      <c r="A1221" t="s">
        <v>15</v>
      </c>
      <c r="B1221" t="s">
        <v>46</v>
      </c>
      <c r="H1221">
        <v>4418.0391421855929</v>
      </c>
    </row>
    <row r="1222" spans="1:8" x14ac:dyDescent="0.35">
      <c r="A1222" t="s">
        <v>16</v>
      </c>
      <c r="B1222" t="s">
        <v>72</v>
      </c>
      <c r="H1222">
        <v>576.53333333333342</v>
      </c>
    </row>
    <row r="1223" spans="1:8" x14ac:dyDescent="0.35">
      <c r="A1223" t="s">
        <v>16</v>
      </c>
      <c r="B1223" t="s">
        <v>61</v>
      </c>
      <c r="H1223">
        <v>2683.4907267510052</v>
      </c>
    </row>
    <row r="1224" spans="1:8" x14ac:dyDescent="0.35">
      <c r="A1224" t="s">
        <v>16</v>
      </c>
      <c r="B1224" t="s">
        <v>62</v>
      </c>
      <c r="H1224">
        <v>6202.7335177760378</v>
      </c>
    </row>
    <row r="1225" spans="1:8" x14ac:dyDescent="0.35">
      <c r="A1225" t="s">
        <v>16</v>
      </c>
      <c r="B1225" t="s">
        <v>63</v>
      </c>
      <c r="H1225">
        <v>7890.1672335105441</v>
      </c>
    </row>
    <row r="1226" spans="1:8" x14ac:dyDescent="0.35">
      <c r="A1226" t="s">
        <v>16</v>
      </c>
      <c r="B1226" t="s">
        <v>64</v>
      </c>
      <c r="H1226">
        <v>7719.9477194025694</v>
      </c>
    </row>
    <row r="1227" spans="1:8" x14ac:dyDescent="0.35">
      <c r="A1227" t="s">
        <v>16</v>
      </c>
      <c r="B1227" t="s">
        <v>65</v>
      </c>
      <c r="H1227">
        <v>8343.0003714657214</v>
      </c>
    </row>
    <row r="1228" spans="1:8" x14ac:dyDescent="0.35">
      <c r="A1228" t="s">
        <v>16</v>
      </c>
      <c r="B1228" t="s">
        <v>66</v>
      </c>
      <c r="H1228">
        <v>6329.6333524669117</v>
      </c>
    </row>
    <row r="1229" spans="1:8" x14ac:dyDescent="0.35">
      <c r="A1229" t="s">
        <v>16</v>
      </c>
      <c r="B1229" t="s">
        <v>47</v>
      </c>
      <c r="H1229">
        <v>39745.506254706124</v>
      </c>
    </row>
    <row r="1230" spans="1:8" x14ac:dyDescent="0.35">
      <c r="A1230" t="s">
        <v>16</v>
      </c>
      <c r="B1230" t="s">
        <v>46</v>
      </c>
      <c r="H1230">
        <v>39168.972921372784</v>
      </c>
    </row>
    <row r="1231" spans="1:8" x14ac:dyDescent="0.35">
      <c r="A1231" t="s">
        <v>17</v>
      </c>
      <c r="B1231" t="s">
        <v>72</v>
      </c>
      <c r="H1231">
        <v>37.866666666666667</v>
      </c>
    </row>
    <row r="1232" spans="1:8" x14ac:dyDescent="0.35">
      <c r="A1232" t="s">
        <v>17</v>
      </c>
      <c r="B1232" t="s">
        <v>61</v>
      </c>
      <c r="H1232">
        <v>114.29184026206561</v>
      </c>
    </row>
    <row r="1233" spans="1:8" x14ac:dyDescent="0.35">
      <c r="A1233" t="s">
        <v>17</v>
      </c>
      <c r="B1233" t="s">
        <v>62</v>
      </c>
      <c r="H1233">
        <v>198.79047128606609</v>
      </c>
    </row>
    <row r="1234" spans="1:8" x14ac:dyDescent="0.35">
      <c r="A1234" t="s">
        <v>17</v>
      </c>
      <c r="B1234" t="s">
        <v>63</v>
      </c>
      <c r="H1234">
        <v>239.27001737083037</v>
      </c>
    </row>
    <row r="1235" spans="1:8" x14ac:dyDescent="0.35">
      <c r="A1235" t="s">
        <v>17</v>
      </c>
      <c r="B1235" t="s">
        <v>64</v>
      </c>
      <c r="H1235">
        <v>234.20691819131466</v>
      </c>
    </row>
    <row r="1236" spans="1:8" x14ac:dyDescent="0.35">
      <c r="A1236" t="s">
        <v>17</v>
      </c>
      <c r="B1236" t="s">
        <v>65</v>
      </c>
      <c r="H1236">
        <v>248.14687862323711</v>
      </c>
    </row>
    <row r="1237" spans="1:8" x14ac:dyDescent="0.35">
      <c r="A1237" t="s">
        <v>17</v>
      </c>
      <c r="B1237" t="s">
        <v>66</v>
      </c>
      <c r="H1237">
        <v>197.00680059444139</v>
      </c>
    </row>
    <row r="1238" spans="1:8" x14ac:dyDescent="0.35">
      <c r="A1238" t="s">
        <v>17</v>
      </c>
      <c r="B1238" t="s">
        <v>47</v>
      </c>
      <c r="H1238">
        <v>1269.5795929946219</v>
      </c>
    </row>
    <row r="1239" spans="1:8" x14ac:dyDescent="0.35">
      <c r="A1239" t="s">
        <v>17</v>
      </c>
      <c r="B1239" t="s">
        <v>46</v>
      </c>
      <c r="H1239">
        <v>1231.7129263279551</v>
      </c>
    </row>
    <row r="1240" spans="1:8" x14ac:dyDescent="0.35">
      <c r="A1240" t="s">
        <v>18</v>
      </c>
      <c r="B1240" t="s">
        <v>72</v>
      </c>
      <c r="H1240">
        <v>54.400000000000006</v>
      </c>
    </row>
    <row r="1241" spans="1:8" x14ac:dyDescent="0.35">
      <c r="A1241" t="s">
        <v>18</v>
      </c>
      <c r="B1241" t="s">
        <v>61</v>
      </c>
      <c r="H1241">
        <v>172.95137475469957</v>
      </c>
    </row>
    <row r="1242" spans="1:8" x14ac:dyDescent="0.35">
      <c r="A1242" t="s">
        <v>18</v>
      </c>
      <c r="B1242" t="s">
        <v>62</v>
      </c>
      <c r="H1242">
        <v>315.07078565757394</v>
      </c>
    </row>
    <row r="1243" spans="1:8" x14ac:dyDescent="0.35">
      <c r="A1243" t="s">
        <v>18</v>
      </c>
      <c r="B1243" t="s">
        <v>63</v>
      </c>
      <c r="H1243">
        <v>383.16800767341988</v>
      </c>
    </row>
    <row r="1244" spans="1:8" x14ac:dyDescent="0.35">
      <c r="A1244" t="s">
        <v>18</v>
      </c>
      <c r="B1244" t="s">
        <v>64</v>
      </c>
      <c r="H1244">
        <v>375.02968728917233</v>
      </c>
    </row>
    <row r="1245" spans="1:8" x14ac:dyDescent="0.35">
      <c r="A1245" t="s">
        <v>18</v>
      </c>
      <c r="B1245" t="s">
        <v>65</v>
      </c>
      <c r="H1245">
        <v>398.86979690657574</v>
      </c>
    </row>
    <row r="1246" spans="1:8" x14ac:dyDescent="0.35">
      <c r="A1246" t="s">
        <v>18</v>
      </c>
      <c r="B1246" t="s">
        <v>66</v>
      </c>
      <c r="H1246">
        <v>313.93848435929834</v>
      </c>
    </row>
    <row r="1247" spans="1:8" x14ac:dyDescent="0.35">
      <c r="A1247" t="s">
        <v>18</v>
      </c>
      <c r="B1247" t="s">
        <v>47</v>
      </c>
      <c r="H1247">
        <v>2013.4281366407399</v>
      </c>
    </row>
    <row r="1248" spans="1:8" x14ac:dyDescent="0.35">
      <c r="A1248" t="s">
        <v>18</v>
      </c>
      <c r="B1248" t="s">
        <v>46</v>
      </c>
      <c r="H1248">
        <v>1959.0281366407398</v>
      </c>
    </row>
    <row r="1249" spans="1:8" x14ac:dyDescent="0.35">
      <c r="A1249" t="s">
        <v>19</v>
      </c>
      <c r="B1249" t="s">
        <v>72</v>
      </c>
      <c r="H1249">
        <v>5.333333333333333</v>
      </c>
    </row>
    <row r="1250" spans="1:8" x14ac:dyDescent="0.35">
      <c r="A1250" t="s">
        <v>19</v>
      </c>
      <c r="B1250" t="s">
        <v>61</v>
      </c>
      <c r="H1250">
        <v>74.57286576942704</v>
      </c>
    </row>
    <row r="1251" spans="1:8" x14ac:dyDescent="0.35">
      <c r="A1251" t="s">
        <v>19</v>
      </c>
      <c r="B1251" t="s">
        <v>62</v>
      </c>
      <c r="H1251">
        <v>224.87269239551009</v>
      </c>
    </row>
    <row r="1252" spans="1:8" x14ac:dyDescent="0.35">
      <c r="A1252" t="s">
        <v>19</v>
      </c>
      <c r="B1252" t="s">
        <v>63</v>
      </c>
      <c r="H1252">
        <v>296.96892897094267</v>
      </c>
    </row>
    <row r="1253" spans="1:8" x14ac:dyDescent="0.35">
      <c r="A1253" t="s">
        <v>19</v>
      </c>
      <c r="B1253" t="s">
        <v>64</v>
      </c>
      <c r="H1253">
        <v>290.48288568977682</v>
      </c>
    </row>
    <row r="1254" spans="1:8" x14ac:dyDescent="0.35">
      <c r="A1254" t="s">
        <v>19</v>
      </c>
      <c r="B1254" t="s">
        <v>65</v>
      </c>
      <c r="H1254">
        <v>317.91105388505389</v>
      </c>
    </row>
    <row r="1255" spans="1:8" x14ac:dyDescent="0.35">
      <c r="A1255" t="s">
        <v>19</v>
      </c>
      <c r="B1255" t="s">
        <v>66</v>
      </c>
      <c r="H1255">
        <v>234.17091791514616</v>
      </c>
    </row>
    <row r="1256" spans="1:8" x14ac:dyDescent="0.35">
      <c r="A1256" t="s">
        <v>19</v>
      </c>
      <c r="B1256" t="s">
        <v>47</v>
      </c>
      <c r="H1256">
        <v>1444.3126779591901</v>
      </c>
    </row>
    <row r="1257" spans="1:8" x14ac:dyDescent="0.35">
      <c r="A1257" t="s">
        <v>19</v>
      </c>
      <c r="B1257" t="s">
        <v>46</v>
      </c>
      <c r="H1257">
        <v>1438.9793446258568</v>
      </c>
    </row>
    <row r="1258" spans="1:8" x14ac:dyDescent="0.35">
      <c r="A1258" t="s">
        <v>20</v>
      </c>
      <c r="B1258" t="s">
        <v>72</v>
      </c>
      <c r="H1258">
        <v>3.7333333333333329</v>
      </c>
    </row>
    <row r="1259" spans="1:8" x14ac:dyDescent="0.35">
      <c r="A1259" t="s">
        <v>20</v>
      </c>
      <c r="B1259" t="s">
        <v>61</v>
      </c>
      <c r="H1259">
        <v>13.875301142755685</v>
      </c>
    </row>
    <row r="1260" spans="1:8" x14ac:dyDescent="0.35">
      <c r="A1260" t="s">
        <v>20</v>
      </c>
      <c r="B1260" t="s">
        <v>62</v>
      </c>
      <c r="H1260">
        <v>28.376570810263992</v>
      </c>
    </row>
    <row r="1261" spans="1:8" x14ac:dyDescent="0.35">
      <c r="A1261" t="s">
        <v>20</v>
      </c>
      <c r="B1261" t="s">
        <v>63</v>
      </c>
      <c r="H1261">
        <v>35.327688250093139</v>
      </c>
    </row>
    <row r="1262" spans="1:8" x14ac:dyDescent="0.35">
      <c r="A1262" t="s">
        <v>20</v>
      </c>
      <c r="B1262" t="s">
        <v>64</v>
      </c>
      <c r="H1262">
        <v>34.571126818266919</v>
      </c>
    </row>
    <row r="1263" spans="1:8" x14ac:dyDescent="0.35">
      <c r="A1263" t="s">
        <v>20</v>
      </c>
      <c r="B1263" t="s">
        <v>65</v>
      </c>
      <c r="H1263">
        <v>37.080821596001186</v>
      </c>
    </row>
    <row r="1264" spans="1:8" x14ac:dyDescent="0.35">
      <c r="A1264" t="s">
        <v>20</v>
      </c>
      <c r="B1264" t="s">
        <v>66</v>
      </c>
      <c r="H1264">
        <v>28.62647228533779</v>
      </c>
    </row>
    <row r="1265" spans="1:8" x14ac:dyDescent="0.35">
      <c r="A1265" t="s">
        <v>20</v>
      </c>
      <c r="B1265" t="s">
        <v>47</v>
      </c>
      <c r="H1265">
        <v>181.59131423605206</v>
      </c>
    </row>
    <row r="1266" spans="1:8" x14ac:dyDescent="0.35">
      <c r="A1266" t="s">
        <v>20</v>
      </c>
      <c r="B1266" t="s">
        <v>46</v>
      </c>
      <c r="H1266">
        <v>177.85798090271871</v>
      </c>
    </row>
    <row r="1267" spans="1:8" x14ac:dyDescent="0.35">
      <c r="A1267" t="s">
        <v>21</v>
      </c>
      <c r="B1267" t="s">
        <v>72</v>
      </c>
      <c r="H1267">
        <v>59.199999999999996</v>
      </c>
    </row>
    <row r="1268" spans="1:8" x14ac:dyDescent="0.35">
      <c r="A1268" t="s">
        <v>21</v>
      </c>
      <c r="B1268" t="s">
        <v>61</v>
      </c>
      <c r="H1268">
        <v>597.64807867075626</v>
      </c>
    </row>
    <row r="1269" spans="1:8" x14ac:dyDescent="0.35">
      <c r="A1269" t="s">
        <v>21</v>
      </c>
      <c r="B1269" t="s">
        <v>62</v>
      </c>
      <c r="H1269">
        <v>1721.3540942078105</v>
      </c>
    </row>
    <row r="1270" spans="1:8" x14ac:dyDescent="0.35">
      <c r="A1270" t="s">
        <v>21</v>
      </c>
      <c r="B1270" t="s">
        <v>63</v>
      </c>
      <c r="H1270">
        <v>2260.3471337773067</v>
      </c>
    </row>
    <row r="1271" spans="1:8" x14ac:dyDescent="0.35">
      <c r="A1271" t="s">
        <v>21</v>
      </c>
      <c r="B1271" t="s">
        <v>64</v>
      </c>
      <c r="H1271">
        <v>2211.0695170573063</v>
      </c>
    </row>
    <row r="1272" spans="1:8" x14ac:dyDescent="0.35">
      <c r="A1272" t="s">
        <v>21</v>
      </c>
      <c r="B1272" t="s">
        <v>65</v>
      </c>
      <c r="H1272">
        <v>2415.3138930070463</v>
      </c>
    </row>
    <row r="1273" spans="1:8" x14ac:dyDescent="0.35">
      <c r="A1273" t="s">
        <v>21</v>
      </c>
      <c r="B1273" t="s">
        <v>66</v>
      </c>
      <c r="H1273">
        <v>1786.9857012704347</v>
      </c>
    </row>
    <row r="1274" spans="1:8" x14ac:dyDescent="0.35">
      <c r="A1274" t="s">
        <v>21</v>
      </c>
      <c r="B1274" t="s">
        <v>47</v>
      </c>
      <c r="H1274">
        <v>11051.918417990661</v>
      </c>
    </row>
    <row r="1275" spans="1:8" x14ac:dyDescent="0.35">
      <c r="A1275" t="s">
        <v>21</v>
      </c>
      <c r="B1275" t="s">
        <v>46</v>
      </c>
      <c r="H1275">
        <v>10992.71841799066</v>
      </c>
    </row>
    <row r="1276" spans="1:8" x14ac:dyDescent="0.35">
      <c r="A1276" t="s">
        <v>22</v>
      </c>
      <c r="B1276" t="s">
        <v>72</v>
      </c>
      <c r="H1276">
        <v>938.66666666666663</v>
      </c>
    </row>
    <row r="1277" spans="1:8" x14ac:dyDescent="0.35">
      <c r="A1277" t="s">
        <v>22</v>
      </c>
      <c r="B1277" t="s">
        <v>61</v>
      </c>
      <c r="H1277">
        <v>2844.4447699857433</v>
      </c>
    </row>
    <row r="1278" spans="1:8" x14ac:dyDescent="0.35">
      <c r="A1278" t="s">
        <v>22</v>
      </c>
      <c r="B1278" t="s">
        <v>62</v>
      </c>
      <c r="H1278">
        <v>4965.7913577740173</v>
      </c>
    </row>
    <row r="1279" spans="1:8" x14ac:dyDescent="0.35">
      <c r="A1279" t="s">
        <v>22</v>
      </c>
      <c r="B1279" t="s">
        <v>63</v>
      </c>
      <c r="H1279">
        <v>5982.052619353949</v>
      </c>
    </row>
    <row r="1280" spans="1:8" x14ac:dyDescent="0.35">
      <c r="A1280" t="s">
        <v>22</v>
      </c>
      <c r="B1280" t="s">
        <v>64</v>
      </c>
      <c r="H1280">
        <v>5855.4297277645019</v>
      </c>
    </row>
    <row r="1281" spans="1:8" x14ac:dyDescent="0.35">
      <c r="A1281" t="s">
        <v>22</v>
      </c>
      <c r="B1281" t="s">
        <v>65</v>
      </c>
      <c r="H1281">
        <v>6205.9023750410543</v>
      </c>
    </row>
    <row r="1282" spans="1:8" x14ac:dyDescent="0.35">
      <c r="A1282" t="s">
        <v>22</v>
      </c>
      <c r="B1282" t="s">
        <v>66</v>
      </c>
      <c r="H1282">
        <v>4923.4209630891091</v>
      </c>
    </row>
    <row r="1283" spans="1:8" x14ac:dyDescent="0.35">
      <c r="A1283" t="s">
        <v>22</v>
      </c>
      <c r="B1283" t="s">
        <v>47</v>
      </c>
      <c r="H1283">
        <v>31715.708479675039</v>
      </c>
    </row>
    <row r="1284" spans="1:8" x14ac:dyDescent="0.35">
      <c r="A1284" t="s">
        <v>22</v>
      </c>
      <c r="B1284" t="s">
        <v>46</v>
      </c>
      <c r="H1284">
        <v>30777.041813008374</v>
      </c>
    </row>
    <row r="1285" spans="1:8" x14ac:dyDescent="0.35">
      <c r="A1285" t="s">
        <v>23</v>
      </c>
      <c r="B1285" t="s">
        <v>72</v>
      </c>
      <c r="H1285">
        <v>100.26666666666667</v>
      </c>
    </row>
    <row r="1286" spans="1:8" x14ac:dyDescent="0.35">
      <c r="A1286" t="s">
        <v>23</v>
      </c>
      <c r="B1286" t="s">
        <v>61</v>
      </c>
      <c r="H1286">
        <v>385.39670182073667</v>
      </c>
    </row>
    <row r="1287" spans="1:8" x14ac:dyDescent="0.35">
      <c r="A1287" t="s">
        <v>23</v>
      </c>
      <c r="B1287" t="s">
        <v>62</v>
      </c>
      <c r="H1287">
        <v>805.02580757830265</v>
      </c>
    </row>
    <row r="1288" spans="1:8" x14ac:dyDescent="0.35">
      <c r="A1288" t="s">
        <v>23</v>
      </c>
      <c r="B1288" t="s">
        <v>63</v>
      </c>
      <c r="H1288">
        <v>1006.1849073159301</v>
      </c>
    </row>
    <row r="1289" spans="1:8" x14ac:dyDescent="0.35">
      <c r="A1289" t="s">
        <v>23</v>
      </c>
      <c r="B1289" t="s">
        <v>64</v>
      </c>
      <c r="H1289">
        <v>984.60751610574914</v>
      </c>
    </row>
    <row r="1290" spans="1:8" x14ac:dyDescent="0.35">
      <c r="A1290" t="s">
        <v>23</v>
      </c>
      <c r="B1290" t="s">
        <v>65</v>
      </c>
      <c r="H1290">
        <v>1057.5612511755016</v>
      </c>
    </row>
    <row r="1291" spans="1:8" x14ac:dyDescent="0.35">
      <c r="A1291" t="s">
        <v>23</v>
      </c>
      <c r="B1291" t="s">
        <v>66</v>
      </c>
      <c r="H1291">
        <v>813.8189186735035</v>
      </c>
    </row>
    <row r="1292" spans="1:8" x14ac:dyDescent="0.35">
      <c r="A1292" t="s">
        <v>23</v>
      </c>
      <c r="B1292" t="s">
        <v>47</v>
      </c>
      <c r="H1292">
        <v>5152.8617693363904</v>
      </c>
    </row>
    <row r="1293" spans="1:8" x14ac:dyDescent="0.35">
      <c r="A1293" t="s">
        <v>23</v>
      </c>
      <c r="B1293" t="s">
        <v>46</v>
      </c>
      <c r="H1293">
        <v>5052.5951026697239</v>
      </c>
    </row>
    <row r="1294" spans="1:8" x14ac:dyDescent="0.35">
      <c r="A1294" t="s">
        <v>24</v>
      </c>
      <c r="B1294" t="s">
        <v>72</v>
      </c>
      <c r="H1294">
        <v>493.33333333333331</v>
      </c>
    </row>
    <row r="1295" spans="1:8" x14ac:dyDescent="0.35">
      <c r="A1295" t="s">
        <v>24</v>
      </c>
      <c r="B1295" t="s">
        <v>61</v>
      </c>
      <c r="H1295">
        <v>1344.3333333333333</v>
      </c>
    </row>
    <row r="1296" spans="1:8" x14ac:dyDescent="0.35">
      <c r="A1296" t="s">
        <v>24</v>
      </c>
      <c r="B1296" t="s">
        <v>62</v>
      </c>
      <c r="H1296">
        <v>1931.7883819568642</v>
      </c>
    </row>
    <row r="1297" spans="1:8" x14ac:dyDescent="0.35">
      <c r="A1297" t="s">
        <v>24</v>
      </c>
      <c r="B1297" t="s">
        <v>63</v>
      </c>
      <c r="H1297">
        <v>2237.2256769814385</v>
      </c>
    </row>
    <row r="1298" spans="1:8" x14ac:dyDescent="0.35">
      <c r="A1298" t="s">
        <v>24</v>
      </c>
      <c r="B1298" t="s">
        <v>64</v>
      </c>
      <c r="H1298">
        <v>2190.5598421695022</v>
      </c>
    </row>
    <row r="1299" spans="1:8" x14ac:dyDescent="0.35">
      <c r="A1299" t="s">
        <v>24</v>
      </c>
      <c r="B1299" t="s">
        <v>65</v>
      </c>
      <c r="H1299">
        <v>2287.0512719677554</v>
      </c>
    </row>
    <row r="1300" spans="1:8" x14ac:dyDescent="0.35">
      <c r="A1300" t="s">
        <v>24</v>
      </c>
      <c r="B1300" t="s">
        <v>66</v>
      </c>
      <c r="H1300">
        <v>1876.6296460038093</v>
      </c>
    </row>
    <row r="1301" spans="1:8" x14ac:dyDescent="0.35">
      <c r="A1301" t="s">
        <v>24</v>
      </c>
      <c r="B1301" t="s">
        <v>47</v>
      </c>
      <c r="H1301">
        <v>12360.921485746036</v>
      </c>
    </row>
    <row r="1302" spans="1:8" x14ac:dyDescent="0.35">
      <c r="A1302" t="s">
        <v>24</v>
      </c>
      <c r="B1302" t="s">
        <v>46</v>
      </c>
      <c r="H1302">
        <v>11867.588152412703</v>
      </c>
    </row>
    <row r="1303" spans="1:8" x14ac:dyDescent="0.35">
      <c r="A1303" t="s">
        <v>25</v>
      </c>
      <c r="B1303" t="s">
        <v>72</v>
      </c>
      <c r="H1303">
        <v>125.33333333333333</v>
      </c>
    </row>
    <row r="1304" spans="1:8" x14ac:dyDescent="0.35">
      <c r="A1304" t="s">
        <v>25</v>
      </c>
      <c r="B1304" t="s">
        <v>61</v>
      </c>
      <c r="H1304">
        <v>369.79754434435245</v>
      </c>
    </row>
    <row r="1305" spans="1:8" x14ac:dyDescent="0.35">
      <c r="A1305" t="s">
        <v>25</v>
      </c>
      <c r="B1305" t="s">
        <v>62</v>
      </c>
      <c r="H1305">
        <v>629.37656738995065</v>
      </c>
    </row>
    <row r="1306" spans="1:8" x14ac:dyDescent="0.35">
      <c r="A1306" t="s">
        <v>25</v>
      </c>
      <c r="B1306" t="s">
        <v>63</v>
      </c>
      <c r="H1306">
        <v>753.715674595981</v>
      </c>
    </row>
    <row r="1307" spans="1:8" x14ac:dyDescent="0.35">
      <c r="A1307" t="s">
        <v>25</v>
      </c>
      <c r="B1307" t="s">
        <v>64</v>
      </c>
      <c r="H1307">
        <v>737.79592857208138</v>
      </c>
    </row>
    <row r="1308" spans="1:8" x14ac:dyDescent="0.35">
      <c r="A1308" t="s">
        <v>25</v>
      </c>
      <c r="B1308" t="s">
        <v>65</v>
      </c>
      <c r="H1308">
        <v>780.23699806425293</v>
      </c>
    </row>
    <row r="1309" spans="1:8" x14ac:dyDescent="0.35">
      <c r="A1309" t="s">
        <v>25</v>
      </c>
      <c r="B1309" t="s">
        <v>66</v>
      </c>
      <c r="H1309">
        <v>622.08600839461235</v>
      </c>
    </row>
    <row r="1310" spans="1:8" x14ac:dyDescent="0.35">
      <c r="A1310" t="s">
        <v>25</v>
      </c>
      <c r="B1310" t="s">
        <v>47</v>
      </c>
      <c r="H1310">
        <v>4018.342054694564</v>
      </c>
    </row>
    <row r="1311" spans="1:8" x14ac:dyDescent="0.35">
      <c r="A1311" t="s">
        <v>25</v>
      </c>
      <c r="B1311" t="s">
        <v>46</v>
      </c>
      <c r="H1311">
        <v>3893.0087213612305</v>
      </c>
    </row>
    <row r="1312" spans="1:8" x14ac:dyDescent="0.35">
      <c r="A1312" t="s">
        <v>26</v>
      </c>
      <c r="B1312" t="s">
        <v>72</v>
      </c>
      <c r="H1312">
        <v>29.333333333333332</v>
      </c>
    </row>
    <row r="1313" spans="1:8" x14ac:dyDescent="0.35">
      <c r="A1313" t="s">
        <v>26</v>
      </c>
      <c r="B1313" t="s">
        <v>61</v>
      </c>
      <c r="H1313">
        <v>121.67592384190385</v>
      </c>
    </row>
    <row r="1314" spans="1:8" x14ac:dyDescent="0.35">
      <c r="A1314" t="s">
        <v>26</v>
      </c>
      <c r="B1314" t="s">
        <v>62</v>
      </c>
      <c r="H1314">
        <v>265.56776231819526</v>
      </c>
    </row>
    <row r="1315" spans="1:8" x14ac:dyDescent="0.35">
      <c r="A1315" t="s">
        <v>26</v>
      </c>
      <c r="B1315" t="s">
        <v>63</v>
      </c>
      <c r="H1315">
        <v>334.55337789377279</v>
      </c>
    </row>
    <row r="1316" spans="1:8" x14ac:dyDescent="0.35">
      <c r="A1316" t="s">
        <v>26</v>
      </c>
      <c r="B1316" t="s">
        <v>64</v>
      </c>
      <c r="H1316">
        <v>327.35954460778203</v>
      </c>
    </row>
    <row r="1317" spans="1:8" x14ac:dyDescent="0.35">
      <c r="A1317" t="s">
        <v>26</v>
      </c>
      <c r="B1317" t="s">
        <v>65</v>
      </c>
      <c r="H1317">
        <v>352.58986132691712</v>
      </c>
    </row>
    <row r="1318" spans="1:8" x14ac:dyDescent="0.35">
      <c r="A1318" t="s">
        <v>26</v>
      </c>
      <c r="B1318" t="s">
        <v>66</v>
      </c>
      <c r="H1318">
        <v>269.59803856711159</v>
      </c>
    </row>
    <row r="1319" spans="1:8" x14ac:dyDescent="0.35">
      <c r="A1319" t="s">
        <v>26</v>
      </c>
      <c r="B1319" t="s">
        <v>47</v>
      </c>
      <c r="H1319">
        <v>1700.677841889016</v>
      </c>
    </row>
    <row r="1320" spans="1:8" x14ac:dyDescent="0.35">
      <c r="A1320" t="s">
        <v>26</v>
      </c>
      <c r="B1320" t="s">
        <v>46</v>
      </c>
      <c r="H1320">
        <v>1671.3445085556828</v>
      </c>
    </row>
    <row r="1321" spans="1:8" x14ac:dyDescent="0.35">
      <c r="A1321" t="s">
        <v>27</v>
      </c>
      <c r="B1321" t="s">
        <v>72</v>
      </c>
      <c r="H1321">
        <v>561.06666666666672</v>
      </c>
    </row>
    <row r="1322" spans="1:8" x14ac:dyDescent="0.35">
      <c r="A1322" t="s">
        <v>27</v>
      </c>
      <c r="B1322" t="s">
        <v>61</v>
      </c>
      <c r="H1322">
        <v>2091.1124692210665</v>
      </c>
    </row>
    <row r="1323" spans="1:8" x14ac:dyDescent="0.35">
      <c r="A1323" t="s">
        <v>27</v>
      </c>
      <c r="B1323" t="s">
        <v>62</v>
      </c>
      <c r="H1323">
        <v>4284.2987424095572</v>
      </c>
    </row>
    <row r="1324" spans="1:8" x14ac:dyDescent="0.35">
      <c r="A1324" t="s">
        <v>27</v>
      </c>
      <c r="B1324" t="s">
        <v>63</v>
      </c>
      <c r="H1324">
        <v>5335.5979939767567</v>
      </c>
    </row>
    <row r="1325" spans="1:8" x14ac:dyDescent="0.35">
      <c r="A1325" t="s">
        <v>27</v>
      </c>
      <c r="B1325" t="s">
        <v>64</v>
      </c>
      <c r="H1325">
        <v>5221.3197942205188</v>
      </c>
    </row>
    <row r="1326" spans="1:8" x14ac:dyDescent="0.35">
      <c r="A1326" t="s">
        <v>27</v>
      </c>
      <c r="B1326" t="s">
        <v>65</v>
      </c>
      <c r="H1326">
        <v>5601.0398903681098</v>
      </c>
    </row>
    <row r="1327" spans="1:8" x14ac:dyDescent="0.35">
      <c r="A1327" t="s">
        <v>27</v>
      </c>
      <c r="B1327" t="s">
        <v>66</v>
      </c>
      <c r="H1327">
        <v>4322.8111879631979</v>
      </c>
    </row>
    <row r="1328" spans="1:8" x14ac:dyDescent="0.35">
      <c r="A1328" t="s">
        <v>27</v>
      </c>
      <c r="B1328" t="s">
        <v>47</v>
      </c>
      <c r="H1328">
        <v>27417.246744825872</v>
      </c>
    </row>
    <row r="1329" spans="1:8" x14ac:dyDescent="0.35">
      <c r="A1329" t="s">
        <v>27</v>
      </c>
      <c r="B1329" t="s">
        <v>46</v>
      </c>
      <c r="H1329">
        <v>26856.180078159206</v>
      </c>
    </row>
    <row r="1330" spans="1:8" x14ac:dyDescent="0.35">
      <c r="A1330" t="s">
        <v>28</v>
      </c>
      <c r="B1330" t="s">
        <v>72</v>
      </c>
      <c r="H1330">
        <v>33.06666666666667</v>
      </c>
    </row>
    <row r="1331" spans="1:8" x14ac:dyDescent="0.35">
      <c r="A1331" t="s">
        <v>28</v>
      </c>
      <c r="B1331" t="s">
        <v>61</v>
      </c>
      <c r="H1331">
        <v>222.70543431981122</v>
      </c>
    </row>
    <row r="1332" spans="1:8" x14ac:dyDescent="0.35">
      <c r="A1332" t="s">
        <v>28</v>
      </c>
      <c r="B1332" t="s">
        <v>62</v>
      </c>
      <c r="H1332">
        <v>587.37360292817607</v>
      </c>
    </row>
    <row r="1333" spans="1:8" x14ac:dyDescent="0.35">
      <c r="A1333" t="s">
        <v>28</v>
      </c>
      <c r="B1333" t="s">
        <v>63</v>
      </c>
      <c r="H1333">
        <v>762.26805145549122</v>
      </c>
    </row>
    <row r="1334" spans="1:8" x14ac:dyDescent="0.35">
      <c r="A1334" t="s">
        <v>28</v>
      </c>
      <c r="B1334" t="s">
        <v>64</v>
      </c>
      <c r="H1334">
        <v>745.71344008437563</v>
      </c>
    </row>
    <row r="1335" spans="1:8" x14ac:dyDescent="0.35">
      <c r="A1335" t="s">
        <v>28</v>
      </c>
      <c r="B1335" t="s">
        <v>65</v>
      </c>
      <c r="H1335">
        <v>811.40724156963017</v>
      </c>
    </row>
    <row r="1336" spans="1:8" x14ac:dyDescent="0.35">
      <c r="A1336" t="s">
        <v>28</v>
      </c>
      <c r="B1336" t="s">
        <v>66</v>
      </c>
      <c r="H1336">
        <v>605.88667425136748</v>
      </c>
    </row>
    <row r="1337" spans="1:8" x14ac:dyDescent="0.35">
      <c r="A1337" t="s">
        <v>28</v>
      </c>
      <c r="B1337" t="s">
        <v>47</v>
      </c>
      <c r="H1337">
        <v>3768.4211112755183</v>
      </c>
    </row>
    <row r="1338" spans="1:8" x14ac:dyDescent="0.35">
      <c r="A1338" t="s">
        <v>28</v>
      </c>
      <c r="B1338" t="s">
        <v>46</v>
      </c>
      <c r="H1338">
        <v>3735.3544446088517</v>
      </c>
    </row>
    <row r="1339" spans="1:8" x14ac:dyDescent="0.35">
      <c r="A1339" t="s">
        <v>29</v>
      </c>
      <c r="B1339" t="s">
        <v>72</v>
      </c>
      <c r="H1339">
        <v>5351.4666666666672</v>
      </c>
    </row>
    <row r="1340" spans="1:8" x14ac:dyDescent="0.35">
      <c r="A1340" t="s">
        <v>29</v>
      </c>
      <c r="B1340" t="s">
        <v>61</v>
      </c>
      <c r="H1340">
        <v>22454.323215945671</v>
      </c>
    </row>
    <row r="1341" spans="1:8" x14ac:dyDescent="0.35">
      <c r="A1341" t="s">
        <v>29</v>
      </c>
      <c r="B1341" t="s">
        <v>62</v>
      </c>
      <c r="H1341">
        <v>48965.894873855577</v>
      </c>
    </row>
    <row r="1342" spans="1:8" x14ac:dyDescent="0.35">
      <c r="A1342" t="s">
        <v>29</v>
      </c>
      <c r="B1342" t="s">
        <v>63</v>
      </c>
      <c r="H1342">
        <v>61725.627084913998</v>
      </c>
    </row>
    <row r="1343" spans="1:8" x14ac:dyDescent="0.35">
      <c r="A1343" t="s">
        <v>29</v>
      </c>
      <c r="B1343" t="s">
        <v>64</v>
      </c>
      <c r="H1343">
        <v>60398.059767405284</v>
      </c>
    </row>
    <row r="1344" spans="1:8" x14ac:dyDescent="0.35">
      <c r="A1344" t="s">
        <v>29</v>
      </c>
      <c r="B1344" t="s">
        <v>65</v>
      </c>
      <c r="H1344">
        <v>65067.817040069996</v>
      </c>
    </row>
    <row r="1345" spans="1:9" x14ac:dyDescent="0.35">
      <c r="A1345" t="s">
        <v>29</v>
      </c>
      <c r="B1345" t="s">
        <v>66</v>
      </c>
      <c r="H1345">
        <v>49726.225472570884</v>
      </c>
    </row>
    <row r="1346" spans="1:9" x14ac:dyDescent="0.35">
      <c r="A1346" t="s">
        <v>29</v>
      </c>
      <c r="B1346" t="s">
        <v>47</v>
      </c>
      <c r="H1346">
        <v>313689.41412142804</v>
      </c>
    </row>
    <row r="1347" spans="1:9" x14ac:dyDescent="0.35">
      <c r="A1347" t="s">
        <v>29</v>
      </c>
      <c r="B1347" t="s">
        <v>46</v>
      </c>
      <c r="H1347">
        <v>308337.94745476136</v>
      </c>
    </row>
    <row r="1348" spans="1:9" x14ac:dyDescent="0.35">
      <c r="A1348" t="s">
        <v>2</v>
      </c>
      <c r="B1348" t="s">
        <v>72</v>
      </c>
      <c r="I1348">
        <v>17.8</v>
      </c>
    </row>
    <row r="1349" spans="1:9" x14ac:dyDescent="0.35">
      <c r="A1349" t="s">
        <v>2</v>
      </c>
      <c r="B1349" t="s">
        <v>61</v>
      </c>
      <c r="I1349">
        <v>48.504999999999995</v>
      </c>
    </row>
    <row r="1350" spans="1:9" x14ac:dyDescent="0.35">
      <c r="A1350" t="s">
        <v>2</v>
      </c>
      <c r="B1350" t="s">
        <v>62</v>
      </c>
      <c r="I1350">
        <v>46.725000000000001</v>
      </c>
    </row>
    <row r="1351" spans="1:9" x14ac:dyDescent="0.35">
      <c r="A1351" t="s">
        <v>2</v>
      </c>
      <c r="B1351" t="s">
        <v>63</v>
      </c>
      <c r="I1351">
        <v>45.835000000000001</v>
      </c>
    </row>
    <row r="1352" spans="1:9" x14ac:dyDescent="0.35">
      <c r="A1352" t="s">
        <v>2</v>
      </c>
      <c r="B1352" t="s">
        <v>64</v>
      </c>
      <c r="I1352">
        <v>44.945</v>
      </c>
    </row>
    <row r="1353" spans="1:9" x14ac:dyDescent="0.35">
      <c r="A1353" t="s">
        <v>2</v>
      </c>
      <c r="B1353" t="s">
        <v>65</v>
      </c>
      <c r="I1353">
        <v>43.61</v>
      </c>
    </row>
    <row r="1354" spans="1:9" x14ac:dyDescent="0.35">
      <c r="A1354" t="s">
        <v>2</v>
      </c>
      <c r="B1354" t="s">
        <v>66</v>
      </c>
      <c r="I1354">
        <v>41.83</v>
      </c>
    </row>
    <row r="1355" spans="1:9" x14ac:dyDescent="0.35">
      <c r="A1355" t="s">
        <v>2</v>
      </c>
      <c r="B1355" t="s">
        <v>47</v>
      </c>
      <c r="I1355">
        <v>289.4896266336475</v>
      </c>
    </row>
    <row r="1356" spans="1:9" x14ac:dyDescent="0.35">
      <c r="A1356" t="s">
        <v>2</v>
      </c>
      <c r="B1356" t="s">
        <v>46</v>
      </c>
      <c r="I1356">
        <v>0</v>
      </c>
    </row>
    <row r="1357" spans="1:9" x14ac:dyDescent="0.35">
      <c r="A1357" t="s">
        <v>3</v>
      </c>
      <c r="B1357" t="s">
        <v>72</v>
      </c>
      <c r="I1357">
        <v>51</v>
      </c>
    </row>
    <row r="1358" spans="1:9" x14ac:dyDescent="0.35">
      <c r="A1358" t="s">
        <v>3</v>
      </c>
      <c r="B1358" t="s">
        <v>61</v>
      </c>
      <c r="I1358">
        <v>138.97499999999999</v>
      </c>
    </row>
    <row r="1359" spans="1:9" x14ac:dyDescent="0.35">
      <c r="A1359" t="s">
        <v>3</v>
      </c>
      <c r="B1359" t="s">
        <v>62</v>
      </c>
      <c r="I1359">
        <v>133.875</v>
      </c>
    </row>
    <row r="1360" spans="1:9" x14ac:dyDescent="0.35">
      <c r="A1360" t="s">
        <v>3</v>
      </c>
      <c r="B1360" t="s">
        <v>63</v>
      </c>
      <c r="I1360">
        <v>131.32499999999999</v>
      </c>
    </row>
    <row r="1361" spans="1:9" x14ac:dyDescent="0.35">
      <c r="A1361" t="s">
        <v>3</v>
      </c>
      <c r="B1361" t="s">
        <v>64</v>
      </c>
      <c r="I1361">
        <v>128.77500000000001</v>
      </c>
    </row>
    <row r="1362" spans="1:9" x14ac:dyDescent="0.35">
      <c r="A1362" t="s">
        <v>3</v>
      </c>
      <c r="B1362" t="s">
        <v>65</v>
      </c>
      <c r="I1362">
        <v>124.94999999999999</v>
      </c>
    </row>
    <row r="1363" spans="1:9" x14ac:dyDescent="0.35">
      <c r="A1363" t="s">
        <v>3</v>
      </c>
      <c r="B1363" t="s">
        <v>66</v>
      </c>
      <c r="I1363">
        <v>119.85</v>
      </c>
    </row>
    <row r="1364" spans="1:9" x14ac:dyDescent="0.35">
      <c r="A1364" t="s">
        <v>3</v>
      </c>
      <c r="B1364" t="s">
        <v>47</v>
      </c>
      <c r="I1364">
        <v>829.86493816966367</v>
      </c>
    </row>
    <row r="1365" spans="1:9" x14ac:dyDescent="0.35">
      <c r="A1365" t="s">
        <v>3</v>
      </c>
      <c r="B1365" t="s">
        <v>46</v>
      </c>
      <c r="I1365">
        <v>0</v>
      </c>
    </row>
    <row r="1366" spans="1:9" x14ac:dyDescent="0.35">
      <c r="A1366" t="s">
        <v>4</v>
      </c>
      <c r="B1366" t="s">
        <v>72</v>
      </c>
      <c r="I1366">
        <v>77</v>
      </c>
    </row>
    <row r="1367" spans="1:9" x14ac:dyDescent="0.35">
      <c r="A1367" t="s">
        <v>4</v>
      </c>
      <c r="B1367" t="s">
        <v>61</v>
      </c>
      <c r="I1367">
        <v>209.82499999999999</v>
      </c>
    </row>
    <row r="1368" spans="1:9" x14ac:dyDescent="0.35">
      <c r="A1368" t="s">
        <v>4</v>
      </c>
      <c r="B1368" t="s">
        <v>62</v>
      </c>
      <c r="I1368">
        <v>202.125</v>
      </c>
    </row>
    <row r="1369" spans="1:9" x14ac:dyDescent="0.35">
      <c r="A1369" t="s">
        <v>4</v>
      </c>
      <c r="B1369" t="s">
        <v>63</v>
      </c>
      <c r="I1369">
        <v>198.27500000000001</v>
      </c>
    </row>
    <row r="1370" spans="1:9" x14ac:dyDescent="0.35">
      <c r="A1370" t="s">
        <v>4</v>
      </c>
      <c r="B1370" t="s">
        <v>64</v>
      </c>
      <c r="I1370">
        <v>194.42500000000001</v>
      </c>
    </row>
    <row r="1371" spans="1:9" x14ac:dyDescent="0.35">
      <c r="A1371" t="s">
        <v>4</v>
      </c>
      <c r="B1371" t="s">
        <v>65</v>
      </c>
      <c r="I1371">
        <v>188.65</v>
      </c>
    </row>
    <row r="1372" spans="1:9" x14ac:dyDescent="0.35">
      <c r="A1372" t="s">
        <v>4</v>
      </c>
      <c r="B1372" t="s">
        <v>66</v>
      </c>
      <c r="I1372">
        <v>180.95</v>
      </c>
    </row>
    <row r="1373" spans="1:9" x14ac:dyDescent="0.35">
      <c r="A1373" t="s">
        <v>4</v>
      </c>
      <c r="B1373" t="s">
        <v>47</v>
      </c>
      <c r="I1373">
        <v>1249.7451401540497</v>
      </c>
    </row>
    <row r="1374" spans="1:9" x14ac:dyDescent="0.35">
      <c r="A1374" t="s">
        <v>4</v>
      </c>
      <c r="B1374" t="s">
        <v>46</v>
      </c>
      <c r="I1374">
        <v>0</v>
      </c>
    </row>
    <row r="1375" spans="1:9" x14ac:dyDescent="0.35">
      <c r="A1375" t="s">
        <v>5</v>
      </c>
      <c r="B1375" t="s">
        <v>72</v>
      </c>
      <c r="I1375">
        <v>38.800000000000004</v>
      </c>
    </row>
    <row r="1376" spans="1:9" x14ac:dyDescent="0.35">
      <c r="A1376" t="s">
        <v>5</v>
      </c>
      <c r="B1376" t="s">
        <v>61</v>
      </c>
      <c r="I1376">
        <v>105.72999999999999</v>
      </c>
    </row>
    <row r="1377" spans="1:9" x14ac:dyDescent="0.35">
      <c r="A1377" t="s">
        <v>5</v>
      </c>
      <c r="B1377" t="s">
        <v>62</v>
      </c>
      <c r="I1377">
        <v>101.85000000000001</v>
      </c>
    </row>
    <row r="1378" spans="1:9" x14ac:dyDescent="0.35">
      <c r="A1378" t="s">
        <v>5</v>
      </c>
      <c r="B1378" t="s">
        <v>63</v>
      </c>
      <c r="I1378">
        <v>99.91</v>
      </c>
    </row>
    <row r="1379" spans="1:9" x14ac:dyDescent="0.35">
      <c r="A1379" t="s">
        <v>5</v>
      </c>
      <c r="B1379" t="s">
        <v>64</v>
      </c>
      <c r="I1379">
        <v>97.97</v>
      </c>
    </row>
    <row r="1380" spans="1:9" x14ac:dyDescent="0.35">
      <c r="A1380" t="s">
        <v>5</v>
      </c>
      <c r="B1380" t="s">
        <v>65</v>
      </c>
      <c r="I1380">
        <v>95.06</v>
      </c>
    </row>
    <row r="1381" spans="1:9" x14ac:dyDescent="0.35">
      <c r="A1381" t="s">
        <v>5</v>
      </c>
      <c r="B1381" t="s">
        <v>66</v>
      </c>
      <c r="I1381">
        <v>91.18</v>
      </c>
    </row>
    <row r="1382" spans="1:9" x14ac:dyDescent="0.35">
      <c r="A1382" t="s">
        <v>5</v>
      </c>
      <c r="B1382" t="s">
        <v>47</v>
      </c>
      <c r="I1382">
        <v>631.53594951228467</v>
      </c>
    </row>
    <row r="1383" spans="1:9" x14ac:dyDescent="0.35">
      <c r="A1383" t="s">
        <v>5</v>
      </c>
      <c r="B1383" t="s">
        <v>46</v>
      </c>
      <c r="I1383">
        <v>0</v>
      </c>
    </row>
    <row r="1384" spans="1:9" x14ac:dyDescent="0.35">
      <c r="A1384" t="s">
        <v>6</v>
      </c>
      <c r="B1384" t="s">
        <v>72</v>
      </c>
      <c r="I1384">
        <v>4</v>
      </c>
    </row>
    <row r="1385" spans="1:9" x14ac:dyDescent="0.35">
      <c r="A1385" t="s">
        <v>6</v>
      </c>
      <c r="B1385" t="s">
        <v>61</v>
      </c>
      <c r="I1385">
        <v>10.9</v>
      </c>
    </row>
    <row r="1386" spans="1:9" x14ac:dyDescent="0.35">
      <c r="A1386" t="s">
        <v>6</v>
      </c>
      <c r="B1386" t="s">
        <v>62</v>
      </c>
      <c r="I1386">
        <v>10.5</v>
      </c>
    </row>
    <row r="1387" spans="1:9" x14ac:dyDescent="0.35">
      <c r="A1387" t="s">
        <v>6</v>
      </c>
      <c r="B1387" t="s">
        <v>63</v>
      </c>
      <c r="I1387">
        <v>10.3</v>
      </c>
    </row>
    <row r="1388" spans="1:9" x14ac:dyDescent="0.35">
      <c r="A1388" t="s">
        <v>6</v>
      </c>
      <c r="B1388" t="s">
        <v>64</v>
      </c>
      <c r="I1388">
        <v>10.1</v>
      </c>
    </row>
    <row r="1389" spans="1:9" x14ac:dyDescent="0.35">
      <c r="A1389" t="s">
        <v>6</v>
      </c>
      <c r="B1389" t="s">
        <v>65</v>
      </c>
      <c r="I1389">
        <v>9.8000000000000007</v>
      </c>
    </row>
    <row r="1390" spans="1:9" x14ac:dyDescent="0.35">
      <c r="A1390" t="s">
        <v>6</v>
      </c>
      <c r="B1390" t="s">
        <v>66</v>
      </c>
      <c r="I1390">
        <v>9.4</v>
      </c>
    </row>
    <row r="1391" spans="1:9" x14ac:dyDescent="0.35">
      <c r="A1391" t="s">
        <v>6</v>
      </c>
      <c r="B1391" t="s">
        <v>47</v>
      </c>
      <c r="I1391">
        <v>65.561453665725836</v>
      </c>
    </row>
    <row r="1392" spans="1:9" x14ac:dyDescent="0.35">
      <c r="A1392" t="s">
        <v>6</v>
      </c>
      <c r="B1392" t="s">
        <v>46</v>
      </c>
      <c r="I1392">
        <v>0</v>
      </c>
    </row>
    <row r="1393" spans="1:9" x14ac:dyDescent="0.35">
      <c r="A1393" t="s">
        <v>7</v>
      </c>
      <c r="B1393" t="s">
        <v>72</v>
      </c>
      <c r="I1393">
        <v>48</v>
      </c>
    </row>
    <row r="1394" spans="1:9" x14ac:dyDescent="0.35">
      <c r="A1394" t="s">
        <v>7</v>
      </c>
      <c r="B1394" t="s">
        <v>61</v>
      </c>
      <c r="I1394">
        <v>130.80000000000001</v>
      </c>
    </row>
    <row r="1395" spans="1:9" x14ac:dyDescent="0.35">
      <c r="A1395" t="s">
        <v>7</v>
      </c>
      <c r="B1395" t="s">
        <v>62</v>
      </c>
      <c r="I1395">
        <v>126</v>
      </c>
    </row>
    <row r="1396" spans="1:9" x14ac:dyDescent="0.35">
      <c r="A1396" t="s">
        <v>7</v>
      </c>
      <c r="B1396" t="s">
        <v>63</v>
      </c>
      <c r="I1396">
        <v>123.60000000000001</v>
      </c>
    </row>
    <row r="1397" spans="1:9" x14ac:dyDescent="0.35">
      <c r="A1397" t="s">
        <v>7</v>
      </c>
      <c r="B1397" t="s">
        <v>64</v>
      </c>
      <c r="I1397">
        <v>121.19999999999999</v>
      </c>
    </row>
    <row r="1398" spans="1:9" x14ac:dyDescent="0.35">
      <c r="A1398" t="s">
        <v>7</v>
      </c>
      <c r="B1398" t="s">
        <v>65</v>
      </c>
      <c r="I1398">
        <v>117.60000000000001</v>
      </c>
    </row>
    <row r="1399" spans="1:9" x14ac:dyDescent="0.35">
      <c r="A1399" t="s">
        <v>7</v>
      </c>
      <c r="B1399" t="s">
        <v>66</v>
      </c>
      <c r="I1399">
        <v>112.80000000000001</v>
      </c>
    </row>
    <row r="1400" spans="1:9" x14ac:dyDescent="0.35">
      <c r="A1400" t="s">
        <v>7</v>
      </c>
      <c r="B1400" t="s">
        <v>47</v>
      </c>
      <c r="I1400">
        <v>780.81723669646726</v>
      </c>
    </row>
    <row r="1401" spans="1:9" x14ac:dyDescent="0.35">
      <c r="A1401" t="s">
        <v>7</v>
      </c>
      <c r="B1401" t="s">
        <v>46</v>
      </c>
      <c r="I1401">
        <v>0</v>
      </c>
    </row>
    <row r="1402" spans="1:9" x14ac:dyDescent="0.35">
      <c r="A1402" t="s">
        <v>8</v>
      </c>
      <c r="B1402" t="s">
        <v>72</v>
      </c>
      <c r="I1402">
        <v>10</v>
      </c>
    </row>
    <row r="1403" spans="1:9" x14ac:dyDescent="0.35">
      <c r="A1403" t="s">
        <v>8</v>
      </c>
      <c r="B1403" t="s">
        <v>61</v>
      </c>
      <c r="I1403">
        <v>27.25</v>
      </c>
    </row>
    <row r="1404" spans="1:9" x14ac:dyDescent="0.35">
      <c r="A1404" t="s">
        <v>8</v>
      </c>
      <c r="B1404" t="s">
        <v>62</v>
      </c>
      <c r="I1404">
        <v>26.25</v>
      </c>
    </row>
    <row r="1405" spans="1:9" x14ac:dyDescent="0.35">
      <c r="A1405" t="s">
        <v>8</v>
      </c>
      <c r="B1405" t="s">
        <v>63</v>
      </c>
      <c r="I1405">
        <v>25.75</v>
      </c>
    </row>
    <row r="1406" spans="1:9" x14ac:dyDescent="0.35">
      <c r="A1406" t="s">
        <v>8</v>
      </c>
      <c r="B1406" t="s">
        <v>64</v>
      </c>
      <c r="I1406">
        <v>25.25</v>
      </c>
    </row>
    <row r="1407" spans="1:9" x14ac:dyDescent="0.35">
      <c r="A1407" t="s">
        <v>8</v>
      </c>
      <c r="B1407" t="s">
        <v>65</v>
      </c>
      <c r="I1407">
        <v>24.5</v>
      </c>
    </row>
    <row r="1408" spans="1:9" x14ac:dyDescent="0.35">
      <c r="A1408" t="s">
        <v>8</v>
      </c>
      <c r="B1408" t="s">
        <v>66</v>
      </c>
      <c r="I1408">
        <v>23.5</v>
      </c>
    </row>
    <row r="1409" spans="1:9" x14ac:dyDescent="0.35">
      <c r="A1409" t="s">
        <v>8</v>
      </c>
      <c r="B1409" t="s">
        <v>47</v>
      </c>
      <c r="I1409">
        <v>162.50775622178804</v>
      </c>
    </row>
    <row r="1410" spans="1:9" x14ac:dyDescent="0.35">
      <c r="A1410" t="s">
        <v>8</v>
      </c>
      <c r="B1410" t="s">
        <v>46</v>
      </c>
      <c r="I1410">
        <v>0</v>
      </c>
    </row>
    <row r="1411" spans="1:9" x14ac:dyDescent="0.35">
      <c r="A1411" t="s">
        <v>9</v>
      </c>
      <c r="B1411" t="s">
        <v>72</v>
      </c>
      <c r="I1411">
        <v>5.8</v>
      </c>
    </row>
    <row r="1412" spans="1:9" x14ac:dyDescent="0.35">
      <c r="A1412" t="s">
        <v>9</v>
      </c>
      <c r="B1412" t="s">
        <v>61</v>
      </c>
      <c r="I1412">
        <v>15.805</v>
      </c>
    </row>
    <row r="1413" spans="1:9" x14ac:dyDescent="0.35">
      <c r="A1413" t="s">
        <v>9</v>
      </c>
      <c r="B1413" t="s">
        <v>62</v>
      </c>
      <c r="I1413">
        <v>15.225000000000001</v>
      </c>
    </row>
    <row r="1414" spans="1:9" x14ac:dyDescent="0.35">
      <c r="A1414" t="s">
        <v>9</v>
      </c>
      <c r="B1414" t="s">
        <v>63</v>
      </c>
      <c r="I1414">
        <v>14.934999999999999</v>
      </c>
    </row>
    <row r="1415" spans="1:9" x14ac:dyDescent="0.35">
      <c r="A1415" t="s">
        <v>9</v>
      </c>
      <c r="B1415" t="s">
        <v>64</v>
      </c>
      <c r="I1415">
        <v>14.645</v>
      </c>
    </row>
    <row r="1416" spans="1:9" x14ac:dyDescent="0.35">
      <c r="A1416" t="s">
        <v>9</v>
      </c>
      <c r="B1416" t="s">
        <v>65</v>
      </c>
      <c r="I1416">
        <v>14.209999999999999</v>
      </c>
    </row>
    <row r="1417" spans="1:9" x14ac:dyDescent="0.35">
      <c r="A1417" t="s">
        <v>9</v>
      </c>
      <c r="B1417" t="s">
        <v>66</v>
      </c>
      <c r="I1417">
        <v>13.629999999999999</v>
      </c>
    </row>
    <row r="1418" spans="1:9" x14ac:dyDescent="0.35">
      <c r="A1418" t="s">
        <v>9</v>
      </c>
      <c r="B1418" t="s">
        <v>47</v>
      </c>
      <c r="I1418">
        <v>93.122285389056202</v>
      </c>
    </row>
    <row r="1419" spans="1:9" x14ac:dyDescent="0.35">
      <c r="A1419" t="s">
        <v>9</v>
      </c>
      <c r="B1419" t="s">
        <v>46</v>
      </c>
      <c r="I1419">
        <v>0</v>
      </c>
    </row>
    <row r="1420" spans="1:9" x14ac:dyDescent="0.35">
      <c r="A1420" t="s">
        <v>10</v>
      </c>
      <c r="B1420" t="s">
        <v>72</v>
      </c>
      <c r="I1420">
        <v>17.8</v>
      </c>
    </row>
    <row r="1421" spans="1:9" x14ac:dyDescent="0.35">
      <c r="A1421" t="s">
        <v>10</v>
      </c>
      <c r="B1421" t="s">
        <v>61</v>
      </c>
      <c r="I1421">
        <v>48.504999999999995</v>
      </c>
    </row>
    <row r="1422" spans="1:9" x14ac:dyDescent="0.35">
      <c r="A1422" t="s">
        <v>10</v>
      </c>
      <c r="B1422" t="s">
        <v>62</v>
      </c>
      <c r="I1422">
        <v>46.725000000000001</v>
      </c>
    </row>
    <row r="1423" spans="1:9" x14ac:dyDescent="0.35">
      <c r="A1423" t="s">
        <v>10</v>
      </c>
      <c r="B1423" t="s">
        <v>63</v>
      </c>
      <c r="I1423">
        <v>45.835000000000001</v>
      </c>
    </row>
    <row r="1424" spans="1:9" x14ac:dyDescent="0.35">
      <c r="A1424" t="s">
        <v>10</v>
      </c>
      <c r="B1424" t="s">
        <v>64</v>
      </c>
      <c r="I1424">
        <v>44.945</v>
      </c>
    </row>
    <row r="1425" spans="1:9" x14ac:dyDescent="0.35">
      <c r="A1425" t="s">
        <v>10</v>
      </c>
      <c r="B1425" t="s">
        <v>65</v>
      </c>
      <c r="I1425">
        <v>43.61</v>
      </c>
    </row>
    <row r="1426" spans="1:9" x14ac:dyDescent="0.35">
      <c r="A1426" t="s">
        <v>10</v>
      </c>
      <c r="B1426" t="s">
        <v>66</v>
      </c>
      <c r="I1426">
        <v>41.83</v>
      </c>
    </row>
    <row r="1427" spans="1:9" x14ac:dyDescent="0.35">
      <c r="A1427" t="s">
        <v>10</v>
      </c>
      <c r="B1427" t="s">
        <v>47</v>
      </c>
      <c r="I1427">
        <v>174.07911192283603</v>
      </c>
    </row>
    <row r="1428" spans="1:9" x14ac:dyDescent="0.35">
      <c r="A1428" t="s">
        <v>10</v>
      </c>
      <c r="B1428" t="s">
        <v>46</v>
      </c>
      <c r="I1428">
        <v>0</v>
      </c>
    </row>
    <row r="1429" spans="1:9" x14ac:dyDescent="0.35">
      <c r="A1429" t="s">
        <v>11</v>
      </c>
      <c r="B1429" t="s">
        <v>72</v>
      </c>
      <c r="I1429">
        <v>223.8</v>
      </c>
    </row>
    <row r="1430" spans="1:9" x14ac:dyDescent="0.35">
      <c r="A1430" t="s">
        <v>11</v>
      </c>
      <c r="B1430" t="s">
        <v>61</v>
      </c>
      <c r="I1430">
        <v>609.85500000000002</v>
      </c>
    </row>
    <row r="1431" spans="1:9" x14ac:dyDescent="0.35">
      <c r="A1431" t="s">
        <v>11</v>
      </c>
      <c r="B1431" t="s">
        <v>62</v>
      </c>
      <c r="I1431">
        <v>587.47500000000002</v>
      </c>
    </row>
    <row r="1432" spans="1:9" x14ac:dyDescent="0.35">
      <c r="A1432" t="s">
        <v>11</v>
      </c>
      <c r="B1432" t="s">
        <v>63</v>
      </c>
      <c r="I1432">
        <v>576.28499999999997</v>
      </c>
    </row>
    <row r="1433" spans="1:9" x14ac:dyDescent="0.35">
      <c r="A1433" t="s">
        <v>11</v>
      </c>
      <c r="B1433" t="s">
        <v>64</v>
      </c>
      <c r="I1433">
        <v>565.09500000000003</v>
      </c>
    </row>
    <row r="1434" spans="1:9" x14ac:dyDescent="0.35">
      <c r="A1434" t="s">
        <v>11</v>
      </c>
      <c r="B1434" t="s">
        <v>65</v>
      </c>
      <c r="I1434">
        <v>548.30999999999995</v>
      </c>
    </row>
    <row r="1435" spans="1:9" x14ac:dyDescent="0.35">
      <c r="A1435" t="s">
        <v>11</v>
      </c>
      <c r="B1435" t="s">
        <v>66</v>
      </c>
      <c r="I1435">
        <v>525.92999999999995</v>
      </c>
    </row>
    <row r="1436" spans="1:9" x14ac:dyDescent="0.35">
      <c r="A1436" t="s">
        <v>11</v>
      </c>
      <c r="B1436" t="s">
        <v>47</v>
      </c>
      <c r="I1436">
        <v>3638.4125985645978</v>
      </c>
    </row>
    <row r="1437" spans="1:9" x14ac:dyDescent="0.35">
      <c r="A1437" t="s">
        <v>11</v>
      </c>
      <c r="B1437" t="s">
        <v>46</v>
      </c>
      <c r="I1437">
        <v>0</v>
      </c>
    </row>
    <row r="1438" spans="1:9" x14ac:dyDescent="0.35">
      <c r="A1438" t="s">
        <v>12</v>
      </c>
      <c r="B1438" t="s">
        <v>72</v>
      </c>
      <c r="I1438">
        <v>163.6</v>
      </c>
    </row>
    <row r="1439" spans="1:9" x14ac:dyDescent="0.35">
      <c r="A1439" t="s">
        <v>12</v>
      </c>
      <c r="B1439" t="s">
        <v>61</v>
      </c>
      <c r="I1439">
        <v>445.80999999999995</v>
      </c>
    </row>
    <row r="1440" spans="1:9" x14ac:dyDescent="0.35">
      <c r="A1440" t="s">
        <v>12</v>
      </c>
      <c r="B1440" t="s">
        <v>62</v>
      </c>
      <c r="I1440">
        <v>429.45000000000005</v>
      </c>
    </row>
    <row r="1441" spans="1:9" x14ac:dyDescent="0.35">
      <c r="A1441" t="s">
        <v>12</v>
      </c>
      <c r="B1441" t="s">
        <v>63</v>
      </c>
      <c r="I1441">
        <v>421.27</v>
      </c>
    </row>
    <row r="1442" spans="1:9" x14ac:dyDescent="0.35">
      <c r="A1442" t="s">
        <v>12</v>
      </c>
      <c r="B1442" t="s">
        <v>64</v>
      </c>
      <c r="I1442">
        <v>413.09</v>
      </c>
    </row>
    <row r="1443" spans="1:9" x14ac:dyDescent="0.35">
      <c r="A1443" t="s">
        <v>12</v>
      </c>
      <c r="B1443" t="s">
        <v>65</v>
      </c>
      <c r="I1443">
        <v>400.81999999999994</v>
      </c>
    </row>
    <row r="1444" spans="1:9" x14ac:dyDescent="0.35">
      <c r="A1444" t="s">
        <v>12</v>
      </c>
      <c r="B1444" t="s">
        <v>66</v>
      </c>
      <c r="I1444">
        <v>384.46000000000004</v>
      </c>
    </row>
    <row r="1445" spans="1:9" x14ac:dyDescent="0.35">
      <c r="A1445" t="s">
        <v>12</v>
      </c>
      <c r="B1445" t="s">
        <v>47</v>
      </c>
      <c r="I1445">
        <v>2659.0870393093451</v>
      </c>
    </row>
    <row r="1446" spans="1:9" x14ac:dyDescent="0.35">
      <c r="A1446" t="s">
        <v>12</v>
      </c>
      <c r="B1446" t="s">
        <v>46</v>
      </c>
      <c r="I1446">
        <v>0</v>
      </c>
    </row>
    <row r="1447" spans="1:9" x14ac:dyDescent="0.35">
      <c r="A1447" t="s">
        <v>13</v>
      </c>
      <c r="B1447" t="s">
        <v>72</v>
      </c>
      <c r="I1447">
        <v>110.39999999999999</v>
      </c>
    </row>
    <row r="1448" spans="1:9" x14ac:dyDescent="0.35">
      <c r="A1448" t="s">
        <v>13</v>
      </c>
      <c r="B1448" t="s">
        <v>61</v>
      </c>
      <c r="I1448">
        <v>300.83999999999997</v>
      </c>
    </row>
    <row r="1449" spans="1:9" x14ac:dyDescent="0.35">
      <c r="A1449" t="s">
        <v>13</v>
      </c>
      <c r="B1449" t="s">
        <v>62</v>
      </c>
      <c r="I1449">
        <v>289.8</v>
      </c>
    </row>
    <row r="1450" spans="1:9" x14ac:dyDescent="0.35">
      <c r="A1450" t="s">
        <v>13</v>
      </c>
      <c r="B1450" t="s">
        <v>63</v>
      </c>
      <c r="I1450">
        <v>284.27999999999997</v>
      </c>
    </row>
    <row r="1451" spans="1:9" x14ac:dyDescent="0.35">
      <c r="A1451" t="s">
        <v>13</v>
      </c>
      <c r="B1451" t="s">
        <v>64</v>
      </c>
      <c r="I1451">
        <v>278.76</v>
      </c>
    </row>
    <row r="1452" spans="1:9" x14ac:dyDescent="0.35">
      <c r="A1452" t="s">
        <v>13</v>
      </c>
      <c r="B1452" t="s">
        <v>65</v>
      </c>
      <c r="I1452">
        <v>270.48</v>
      </c>
    </row>
    <row r="1453" spans="1:9" x14ac:dyDescent="0.35">
      <c r="A1453" t="s">
        <v>13</v>
      </c>
      <c r="B1453" t="s">
        <v>66</v>
      </c>
      <c r="I1453">
        <v>259.44</v>
      </c>
    </row>
    <row r="1454" spans="1:9" x14ac:dyDescent="0.35">
      <c r="A1454" t="s">
        <v>13</v>
      </c>
      <c r="B1454" t="s">
        <v>47</v>
      </c>
      <c r="I1454">
        <v>1793.4218040683809</v>
      </c>
    </row>
    <row r="1455" spans="1:9" x14ac:dyDescent="0.35">
      <c r="A1455" t="s">
        <v>13</v>
      </c>
      <c r="B1455" t="s">
        <v>46</v>
      </c>
      <c r="I1455">
        <v>0</v>
      </c>
    </row>
    <row r="1456" spans="1:9" x14ac:dyDescent="0.35">
      <c r="A1456" t="s">
        <v>14</v>
      </c>
      <c r="B1456" t="s">
        <v>72</v>
      </c>
      <c r="I1456">
        <v>86.6</v>
      </c>
    </row>
    <row r="1457" spans="1:9" x14ac:dyDescent="0.35">
      <c r="A1457" t="s">
        <v>14</v>
      </c>
      <c r="B1457" t="s">
        <v>61</v>
      </c>
      <c r="I1457">
        <v>235.98499999999999</v>
      </c>
    </row>
    <row r="1458" spans="1:9" x14ac:dyDescent="0.35">
      <c r="A1458" t="s">
        <v>14</v>
      </c>
      <c r="B1458" t="s">
        <v>62</v>
      </c>
      <c r="I1458">
        <v>227.32499999999999</v>
      </c>
    </row>
    <row r="1459" spans="1:9" x14ac:dyDescent="0.35">
      <c r="A1459" t="s">
        <v>14</v>
      </c>
      <c r="B1459" t="s">
        <v>63</v>
      </c>
      <c r="I1459">
        <v>222.995</v>
      </c>
    </row>
    <row r="1460" spans="1:9" x14ac:dyDescent="0.35">
      <c r="A1460" t="s">
        <v>14</v>
      </c>
      <c r="B1460" t="s">
        <v>64</v>
      </c>
      <c r="I1460">
        <v>218.66500000000002</v>
      </c>
    </row>
    <row r="1461" spans="1:9" x14ac:dyDescent="0.35">
      <c r="A1461" t="s">
        <v>14</v>
      </c>
      <c r="B1461" t="s">
        <v>65</v>
      </c>
      <c r="I1461">
        <v>212.17</v>
      </c>
    </row>
    <row r="1462" spans="1:9" x14ac:dyDescent="0.35">
      <c r="A1462" t="s">
        <v>14</v>
      </c>
      <c r="B1462" t="s">
        <v>66</v>
      </c>
      <c r="I1462">
        <v>203.51</v>
      </c>
    </row>
    <row r="1463" spans="1:9" x14ac:dyDescent="0.35">
      <c r="A1463" t="s">
        <v>14</v>
      </c>
      <c r="B1463" t="s">
        <v>47</v>
      </c>
      <c r="I1463">
        <v>1407.9840870655241</v>
      </c>
    </row>
    <row r="1464" spans="1:9" x14ac:dyDescent="0.35">
      <c r="A1464" t="s">
        <v>14</v>
      </c>
      <c r="B1464" t="s">
        <v>46</v>
      </c>
      <c r="I1464">
        <v>0</v>
      </c>
    </row>
    <row r="1465" spans="1:9" x14ac:dyDescent="0.35">
      <c r="A1465" t="s">
        <v>15</v>
      </c>
      <c r="B1465" t="s">
        <v>72</v>
      </c>
      <c r="I1465">
        <v>20.400000000000002</v>
      </c>
    </row>
    <row r="1466" spans="1:9" x14ac:dyDescent="0.35">
      <c r="A1466" t="s">
        <v>15</v>
      </c>
      <c r="B1466" t="s">
        <v>61</v>
      </c>
      <c r="I1466">
        <v>55.59</v>
      </c>
    </row>
    <row r="1467" spans="1:9" x14ac:dyDescent="0.35">
      <c r="A1467" t="s">
        <v>15</v>
      </c>
      <c r="B1467" t="s">
        <v>62</v>
      </c>
      <c r="I1467">
        <v>53.550000000000004</v>
      </c>
    </row>
    <row r="1468" spans="1:9" x14ac:dyDescent="0.35">
      <c r="A1468" t="s">
        <v>15</v>
      </c>
      <c r="B1468" t="s">
        <v>63</v>
      </c>
      <c r="I1468">
        <v>52.53</v>
      </c>
    </row>
    <row r="1469" spans="1:9" x14ac:dyDescent="0.35">
      <c r="A1469" t="s">
        <v>15</v>
      </c>
      <c r="B1469" t="s">
        <v>64</v>
      </c>
      <c r="I1469">
        <v>51.510000000000005</v>
      </c>
    </row>
    <row r="1470" spans="1:9" x14ac:dyDescent="0.35">
      <c r="A1470" t="s">
        <v>15</v>
      </c>
      <c r="B1470" t="s">
        <v>65</v>
      </c>
      <c r="I1470">
        <v>49.980000000000004</v>
      </c>
    </row>
    <row r="1471" spans="1:9" x14ac:dyDescent="0.35">
      <c r="A1471" t="s">
        <v>15</v>
      </c>
      <c r="B1471" t="s">
        <v>66</v>
      </c>
      <c r="I1471">
        <v>47.940000000000005</v>
      </c>
    </row>
    <row r="1472" spans="1:9" x14ac:dyDescent="0.35">
      <c r="A1472" t="s">
        <v>15</v>
      </c>
      <c r="B1472" t="s">
        <v>47</v>
      </c>
      <c r="I1472">
        <v>331.72010761815164</v>
      </c>
    </row>
    <row r="1473" spans="1:9" x14ac:dyDescent="0.35">
      <c r="A1473" t="s">
        <v>15</v>
      </c>
      <c r="B1473" t="s">
        <v>46</v>
      </c>
      <c r="I1473">
        <v>0</v>
      </c>
    </row>
    <row r="1474" spans="1:9" x14ac:dyDescent="0.35">
      <c r="A1474" t="s">
        <v>16</v>
      </c>
      <c r="B1474" t="s">
        <v>72</v>
      </c>
      <c r="I1474">
        <v>216.20000000000005</v>
      </c>
    </row>
    <row r="1475" spans="1:9" x14ac:dyDescent="0.35">
      <c r="A1475" t="s">
        <v>16</v>
      </c>
      <c r="B1475" t="s">
        <v>61</v>
      </c>
      <c r="I1475">
        <v>589.14499999999998</v>
      </c>
    </row>
    <row r="1476" spans="1:9" x14ac:dyDescent="0.35">
      <c r="A1476" t="s">
        <v>16</v>
      </c>
      <c r="B1476" t="s">
        <v>62</v>
      </c>
      <c r="I1476">
        <v>567.52499999999998</v>
      </c>
    </row>
    <row r="1477" spans="1:9" x14ac:dyDescent="0.35">
      <c r="A1477" t="s">
        <v>16</v>
      </c>
      <c r="B1477" t="s">
        <v>63</v>
      </c>
      <c r="I1477">
        <v>556.71500000000003</v>
      </c>
    </row>
    <row r="1478" spans="1:9" x14ac:dyDescent="0.35">
      <c r="A1478" t="s">
        <v>16</v>
      </c>
      <c r="B1478" t="s">
        <v>64</v>
      </c>
      <c r="I1478">
        <v>545.90499999999997</v>
      </c>
    </row>
    <row r="1479" spans="1:9" x14ac:dyDescent="0.35">
      <c r="A1479" t="s">
        <v>16</v>
      </c>
      <c r="B1479" t="s">
        <v>65</v>
      </c>
      <c r="I1479">
        <v>529.69000000000005</v>
      </c>
    </row>
    <row r="1480" spans="1:9" x14ac:dyDescent="0.35">
      <c r="A1480" t="s">
        <v>16</v>
      </c>
      <c r="B1480" t="s">
        <v>66</v>
      </c>
      <c r="I1480">
        <v>508.06999999999994</v>
      </c>
    </row>
    <row r="1481" spans="1:9" x14ac:dyDescent="0.35">
      <c r="A1481" t="s">
        <v>16</v>
      </c>
      <c r="B1481" t="s">
        <v>47</v>
      </c>
      <c r="I1481">
        <v>3511.9854622235098</v>
      </c>
    </row>
    <row r="1482" spans="1:9" x14ac:dyDescent="0.35">
      <c r="A1482" t="s">
        <v>16</v>
      </c>
      <c r="B1482" t="s">
        <v>46</v>
      </c>
      <c r="I1482">
        <v>0</v>
      </c>
    </row>
    <row r="1483" spans="1:9" x14ac:dyDescent="0.35">
      <c r="A1483" t="s">
        <v>17</v>
      </c>
      <c r="B1483" t="s">
        <v>72</v>
      </c>
      <c r="I1483">
        <v>14.2</v>
      </c>
    </row>
    <row r="1484" spans="1:9" x14ac:dyDescent="0.35">
      <c r="A1484" t="s">
        <v>17</v>
      </c>
      <c r="B1484" t="s">
        <v>61</v>
      </c>
      <c r="I1484">
        <v>38.695</v>
      </c>
    </row>
    <row r="1485" spans="1:9" x14ac:dyDescent="0.35">
      <c r="A1485" t="s">
        <v>17</v>
      </c>
      <c r="B1485" t="s">
        <v>62</v>
      </c>
      <c r="I1485">
        <v>37.275000000000006</v>
      </c>
    </row>
    <row r="1486" spans="1:9" x14ac:dyDescent="0.35">
      <c r="A1486" t="s">
        <v>17</v>
      </c>
      <c r="B1486" t="s">
        <v>63</v>
      </c>
      <c r="I1486">
        <v>36.565000000000005</v>
      </c>
    </row>
    <row r="1487" spans="1:9" x14ac:dyDescent="0.35">
      <c r="A1487" t="s">
        <v>17</v>
      </c>
      <c r="B1487" t="s">
        <v>64</v>
      </c>
      <c r="I1487">
        <v>35.855000000000004</v>
      </c>
    </row>
    <row r="1488" spans="1:9" x14ac:dyDescent="0.35">
      <c r="A1488" t="s">
        <v>17</v>
      </c>
      <c r="B1488" t="s">
        <v>65</v>
      </c>
      <c r="I1488">
        <v>34.79</v>
      </c>
    </row>
    <row r="1489" spans="1:9" x14ac:dyDescent="0.35">
      <c r="A1489" t="s">
        <v>17</v>
      </c>
      <c r="B1489" t="s">
        <v>66</v>
      </c>
      <c r="I1489">
        <v>33.370000000000005</v>
      </c>
    </row>
    <row r="1490" spans="1:9" x14ac:dyDescent="0.35">
      <c r="A1490" t="s">
        <v>17</v>
      </c>
      <c r="B1490" t="s">
        <v>47</v>
      </c>
      <c r="I1490">
        <v>231.83826418818211</v>
      </c>
    </row>
    <row r="1491" spans="1:9" x14ac:dyDescent="0.35">
      <c r="A1491" t="s">
        <v>17</v>
      </c>
      <c r="B1491" t="s">
        <v>46</v>
      </c>
      <c r="I1491">
        <v>0</v>
      </c>
    </row>
    <row r="1492" spans="1:9" x14ac:dyDescent="0.35">
      <c r="A1492" t="s">
        <v>18</v>
      </c>
      <c r="B1492" t="s">
        <v>72</v>
      </c>
      <c r="I1492">
        <v>20.400000000000002</v>
      </c>
    </row>
    <row r="1493" spans="1:9" x14ac:dyDescent="0.35">
      <c r="A1493" t="s">
        <v>18</v>
      </c>
      <c r="B1493" t="s">
        <v>61</v>
      </c>
      <c r="I1493">
        <v>55.59</v>
      </c>
    </row>
    <row r="1494" spans="1:9" x14ac:dyDescent="0.35">
      <c r="A1494" t="s">
        <v>18</v>
      </c>
      <c r="B1494" t="s">
        <v>62</v>
      </c>
      <c r="I1494">
        <v>53.550000000000004</v>
      </c>
    </row>
    <row r="1495" spans="1:9" x14ac:dyDescent="0.35">
      <c r="A1495" t="s">
        <v>18</v>
      </c>
      <c r="B1495" t="s">
        <v>63</v>
      </c>
      <c r="I1495">
        <v>52.53</v>
      </c>
    </row>
    <row r="1496" spans="1:9" x14ac:dyDescent="0.35">
      <c r="A1496" t="s">
        <v>18</v>
      </c>
      <c r="B1496" t="s">
        <v>64</v>
      </c>
      <c r="I1496">
        <v>51.510000000000005</v>
      </c>
    </row>
    <row r="1497" spans="1:9" x14ac:dyDescent="0.35">
      <c r="A1497" t="s">
        <v>18</v>
      </c>
      <c r="B1497" t="s">
        <v>65</v>
      </c>
      <c r="I1497">
        <v>49.980000000000004</v>
      </c>
    </row>
    <row r="1498" spans="1:9" x14ac:dyDescent="0.35">
      <c r="A1498" t="s">
        <v>18</v>
      </c>
      <c r="B1498" t="s">
        <v>66</v>
      </c>
      <c r="I1498">
        <v>47.940000000000005</v>
      </c>
    </row>
    <row r="1499" spans="1:9" x14ac:dyDescent="0.35">
      <c r="A1499" t="s">
        <v>18</v>
      </c>
      <c r="B1499" t="s">
        <v>47</v>
      </c>
      <c r="I1499">
        <v>332.08568339840133</v>
      </c>
    </row>
    <row r="1500" spans="1:9" x14ac:dyDescent="0.35">
      <c r="A1500" t="s">
        <v>18</v>
      </c>
      <c r="B1500" t="s">
        <v>46</v>
      </c>
      <c r="I1500">
        <v>0</v>
      </c>
    </row>
    <row r="1501" spans="1:9" x14ac:dyDescent="0.35">
      <c r="A1501" t="s">
        <v>19</v>
      </c>
      <c r="B1501" t="s">
        <v>72</v>
      </c>
      <c r="I1501">
        <v>2</v>
      </c>
    </row>
    <row r="1502" spans="1:9" x14ac:dyDescent="0.35">
      <c r="A1502" t="s">
        <v>19</v>
      </c>
      <c r="B1502" t="s">
        <v>61</v>
      </c>
      <c r="I1502">
        <v>5.45</v>
      </c>
    </row>
    <row r="1503" spans="1:9" x14ac:dyDescent="0.35">
      <c r="A1503" t="s">
        <v>19</v>
      </c>
      <c r="B1503" t="s">
        <v>62</v>
      </c>
      <c r="I1503">
        <v>5.25</v>
      </c>
    </row>
    <row r="1504" spans="1:9" x14ac:dyDescent="0.35">
      <c r="A1504" t="s">
        <v>19</v>
      </c>
      <c r="B1504" t="s">
        <v>63</v>
      </c>
      <c r="I1504">
        <v>5.15</v>
      </c>
    </row>
    <row r="1505" spans="1:9" x14ac:dyDescent="0.35">
      <c r="A1505" t="s">
        <v>19</v>
      </c>
      <c r="B1505" t="s">
        <v>64</v>
      </c>
      <c r="I1505">
        <v>5.05</v>
      </c>
    </row>
    <row r="1506" spans="1:9" x14ac:dyDescent="0.35">
      <c r="A1506" t="s">
        <v>19</v>
      </c>
      <c r="B1506" t="s">
        <v>65</v>
      </c>
      <c r="I1506">
        <v>4.9000000000000004</v>
      </c>
    </row>
    <row r="1507" spans="1:9" x14ac:dyDescent="0.35">
      <c r="A1507" t="s">
        <v>19</v>
      </c>
      <c r="B1507" t="s">
        <v>66</v>
      </c>
      <c r="I1507">
        <v>4.7</v>
      </c>
    </row>
    <row r="1508" spans="1:9" x14ac:dyDescent="0.35">
      <c r="A1508" t="s">
        <v>19</v>
      </c>
      <c r="B1508" t="s">
        <v>47</v>
      </c>
      <c r="I1508">
        <v>33.053754789297265</v>
      </c>
    </row>
    <row r="1509" spans="1:9" x14ac:dyDescent="0.35">
      <c r="A1509" t="s">
        <v>19</v>
      </c>
      <c r="B1509" t="s">
        <v>46</v>
      </c>
      <c r="I1509">
        <v>0</v>
      </c>
    </row>
    <row r="1510" spans="1:9" x14ac:dyDescent="0.35">
      <c r="A1510" t="s">
        <v>20</v>
      </c>
      <c r="B1510" t="s">
        <v>72</v>
      </c>
      <c r="I1510">
        <v>1.4</v>
      </c>
    </row>
    <row r="1511" spans="1:9" x14ac:dyDescent="0.35">
      <c r="A1511" t="s">
        <v>20</v>
      </c>
      <c r="B1511" t="s">
        <v>61</v>
      </c>
      <c r="I1511">
        <v>3.8150000000000004</v>
      </c>
    </row>
    <row r="1512" spans="1:9" x14ac:dyDescent="0.35">
      <c r="A1512" t="s">
        <v>20</v>
      </c>
      <c r="B1512" t="s">
        <v>62</v>
      </c>
      <c r="I1512">
        <v>3.6749999999999998</v>
      </c>
    </row>
    <row r="1513" spans="1:9" x14ac:dyDescent="0.35">
      <c r="A1513" t="s">
        <v>20</v>
      </c>
      <c r="B1513" t="s">
        <v>63</v>
      </c>
      <c r="I1513">
        <v>3.605</v>
      </c>
    </row>
    <row r="1514" spans="1:9" x14ac:dyDescent="0.35">
      <c r="A1514" t="s">
        <v>20</v>
      </c>
      <c r="B1514" t="s">
        <v>64</v>
      </c>
      <c r="I1514">
        <v>3.5350000000000001</v>
      </c>
    </row>
    <row r="1515" spans="1:9" x14ac:dyDescent="0.35">
      <c r="A1515" t="s">
        <v>20</v>
      </c>
      <c r="B1515" t="s">
        <v>65</v>
      </c>
      <c r="I1515">
        <v>3.4299999999999997</v>
      </c>
    </row>
    <row r="1516" spans="1:9" x14ac:dyDescent="0.35">
      <c r="A1516" t="s">
        <v>20</v>
      </c>
      <c r="B1516" t="s">
        <v>66</v>
      </c>
      <c r="I1516">
        <v>3.29</v>
      </c>
    </row>
    <row r="1517" spans="1:9" x14ac:dyDescent="0.35">
      <c r="A1517" t="s">
        <v>20</v>
      </c>
      <c r="B1517" t="s">
        <v>47</v>
      </c>
      <c r="I1517">
        <v>22.75</v>
      </c>
    </row>
    <row r="1518" spans="1:9" x14ac:dyDescent="0.35">
      <c r="A1518" t="s">
        <v>20</v>
      </c>
      <c r="B1518" t="s">
        <v>46</v>
      </c>
      <c r="I1518">
        <v>0</v>
      </c>
    </row>
    <row r="1519" spans="1:9" x14ac:dyDescent="0.35">
      <c r="A1519" t="s">
        <v>21</v>
      </c>
      <c r="B1519" t="s">
        <v>72</v>
      </c>
      <c r="I1519">
        <v>22.2</v>
      </c>
    </row>
    <row r="1520" spans="1:9" x14ac:dyDescent="0.35">
      <c r="A1520" t="s">
        <v>21</v>
      </c>
      <c r="B1520" t="s">
        <v>61</v>
      </c>
      <c r="I1520">
        <v>60.495000000000005</v>
      </c>
    </row>
    <row r="1521" spans="1:9" x14ac:dyDescent="0.35">
      <c r="A1521" t="s">
        <v>21</v>
      </c>
      <c r="B1521" t="s">
        <v>62</v>
      </c>
      <c r="I1521">
        <v>58.275000000000006</v>
      </c>
    </row>
    <row r="1522" spans="1:9" x14ac:dyDescent="0.35">
      <c r="A1522" t="s">
        <v>21</v>
      </c>
      <c r="B1522" t="s">
        <v>63</v>
      </c>
      <c r="I1522">
        <v>57.164999999999999</v>
      </c>
    </row>
    <row r="1523" spans="1:9" x14ac:dyDescent="0.35">
      <c r="A1523" t="s">
        <v>21</v>
      </c>
      <c r="B1523" t="s">
        <v>64</v>
      </c>
      <c r="I1523">
        <v>56.054999999999993</v>
      </c>
    </row>
    <row r="1524" spans="1:9" x14ac:dyDescent="0.35">
      <c r="A1524" t="s">
        <v>21</v>
      </c>
      <c r="B1524" t="s">
        <v>65</v>
      </c>
      <c r="I1524">
        <v>54.39</v>
      </c>
    </row>
    <row r="1525" spans="1:9" x14ac:dyDescent="0.35">
      <c r="A1525" t="s">
        <v>21</v>
      </c>
      <c r="B1525" t="s">
        <v>66</v>
      </c>
      <c r="I1525">
        <v>52.17</v>
      </c>
    </row>
    <row r="1526" spans="1:9" x14ac:dyDescent="0.35">
      <c r="A1526" t="s">
        <v>21</v>
      </c>
      <c r="B1526" t="s">
        <v>47</v>
      </c>
      <c r="I1526">
        <v>360.25861248653217</v>
      </c>
    </row>
    <row r="1527" spans="1:9" x14ac:dyDescent="0.35">
      <c r="A1527" t="s">
        <v>21</v>
      </c>
      <c r="B1527" t="s">
        <v>46</v>
      </c>
      <c r="I1527">
        <v>0</v>
      </c>
    </row>
    <row r="1528" spans="1:9" x14ac:dyDescent="0.35">
      <c r="A1528" t="s">
        <v>22</v>
      </c>
      <c r="B1528" t="s">
        <v>72</v>
      </c>
      <c r="I1528">
        <v>352</v>
      </c>
    </row>
    <row r="1529" spans="1:9" x14ac:dyDescent="0.35">
      <c r="A1529" t="s">
        <v>22</v>
      </c>
      <c r="B1529" t="s">
        <v>61</v>
      </c>
      <c r="I1529">
        <v>959.19999999999982</v>
      </c>
    </row>
    <row r="1530" spans="1:9" x14ac:dyDescent="0.35">
      <c r="A1530" t="s">
        <v>22</v>
      </c>
      <c r="B1530" t="s">
        <v>62</v>
      </c>
      <c r="I1530">
        <v>924</v>
      </c>
    </row>
    <row r="1531" spans="1:9" x14ac:dyDescent="0.35">
      <c r="A1531" t="s">
        <v>22</v>
      </c>
      <c r="B1531" t="s">
        <v>63</v>
      </c>
      <c r="I1531">
        <v>906.4</v>
      </c>
    </row>
    <row r="1532" spans="1:9" x14ac:dyDescent="0.35">
      <c r="A1532" t="s">
        <v>22</v>
      </c>
      <c r="B1532" t="s">
        <v>64</v>
      </c>
      <c r="I1532">
        <v>888.8</v>
      </c>
    </row>
    <row r="1533" spans="1:9" x14ac:dyDescent="0.35">
      <c r="A1533" t="s">
        <v>22</v>
      </c>
      <c r="B1533" t="s">
        <v>65</v>
      </c>
      <c r="I1533">
        <v>862.39999999999986</v>
      </c>
    </row>
    <row r="1534" spans="1:9" x14ac:dyDescent="0.35">
      <c r="A1534" t="s">
        <v>22</v>
      </c>
      <c r="B1534" t="s">
        <v>66</v>
      </c>
      <c r="I1534">
        <v>827.19999999999982</v>
      </c>
    </row>
    <row r="1535" spans="1:9" x14ac:dyDescent="0.35">
      <c r="A1535" t="s">
        <v>22</v>
      </c>
      <c r="B1535" t="s">
        <v>47</v>
      </c>
      <c r="I1535">
        <v>5719.5132228225139</v>
      </c>
    </row>
    <row r="1536" spans="1:9" x14ac:dyDescent="0.35">
      <c r="A1536" t="s">
        <v>22</v>
      </c>
      <c r="B1536" t="s">
        <v>46</v>
      </c>
      <c r="I1536">
        <v>0</v>
      </c>
    </row>
    <row r="1537" spans="1:9" x14ac:dyDescent="0.35">
      <c r="A1537" t="s">
        <v>23</v>
      </c>
      <c r="B1537" t="s">
        <v>72</v>
      </c>
      <c r="I1537">
        <v>37.6</v>
      </c>
    </row>
    <row r="1538" spans="1:9" x14ac:dyDescent="0.35">
      <c r="A1538" t="s">
        <v>23</v>
      </c>
      <c r="B1538" t="s">
        <v>61</v>
      </c>
      <c r="I1538">
        <v>102.46000000000001</v>
      </c>
    </row>
    <row r="1539" spans="1:9" x14ac:dyDescent="0.35">
      <c r="A1539" t="s">
        <v>23</v>
      </c>
      <c r="B1539" t="s">
        <v>62</v>
      </c>
      <c r="I1539">
        <v>98.699999999999989</v>
      </c>
    </row>
    <row r="1540" spans="1:9" x14ac:dyDescent="0.35">
      <c r="A1540" t="s">
        <v>23</v>
      </c>
      <c r="B1540" t="s">
        <v>63</v>
      </c>
      <c r="I1540">
        <v>96.82</v>
      </c>
    </row>
    <row r="1541" spans="1:9" x14ac:dyDescent="0.35">
      <c r="A1541" t="s">
        <v>23</v>
      </c>
      <c r="B1541" t="s">
        <v>64</v>
      </c>
      <c r="I1541">
        <v>94.94</v>
      </c>
    </row>
    <row r="1542" spans="1:9" x14ac:dyDescent="0.35">
      <c r="A1542" t="s">
        <v>23</v>
      </c>
      <c r="B1542" t="s">
        <v>65</v>
      </c>
      <c r="I1542">
        <v>92.12</v>
      </c>
    </row>
    <row r="1543" spans="1:9" x14ac:dyDescent="0.35">
      <c r="A1543" t="s">
        <v>23</v>
      </c>
      <c r="B1543" t="s">
        <v>66</v>
      </c>
      <c r="I1543">
        <v>88.36</v>
      </c>
    </row>
    <row r="1544" spans="1:9" x14ac:dyDescent="0.35">
      <c r="A1544" t="s">
        <v>23</v>
      </c>
      <c r="B1544" t="s">
        <v>47</v>
      </c>
      <c r="I1544">
        <v>611.57700866908522</v>
      </c>
    </row>
    <row r="1545" spans="1:9" x14ac:dyDescent="0.35">
      <c r="A1545" t="s">
        <v>23</v>
      </c>
      <c r="B1545" t="s">
        <v>46</v>
      </c>
      <c r="I1545">
        <v>0</v>
      </c>
    </row>
    <row r="1546" spans="1:9" x14ac:dyDescent="0.35">
      <c r="A1546" t="s">
        <v>24</v>
      </c>
      <c r="B1546" t="s">
        <v>72</v>
      </c>
      <c r="I1546">
        <v>185</v>
      </c>
    </row>
    <row r="1547" spans="1:9" x14ac:dyDescent="0.35">
      <c r="A1547" t="s">
        <v>24</v>
      </c>
      <c r="B1547" t="s">
        <v>61</v>
      </c>
      <c r="I1547">
        <v>504.125</v>
      </c>
    </row>
    <row r="1548" spans="1:9" x14ac:dyDescent="0.35">
      <c r="A1548" t="s">
        <v>24</v>
      </c>
      <c r="B1548" t="s">
        <v>62</v>
      </c>
      <c r="I1548">
        <v>485.625</v>
      </c>
    </row>
    <row r="1549" spans="1:9" x14ac:dyDescent="0.35">
      <c r="A1549" t="s">
        <v>24</v>
      </c>
      <c r="B1549" t="s">
        <v>63</v>
      </c>
      <c r="I1549">
        <v>476.375</v>
      </c>
    </row>
    <row r="1550" spans="1:9" x14ac:dyDescent="0.35">
      <c r="A1550" t="s">
        <v>24</v>
      </c>
      <c r="B1550" t="s">
        <v>64</v>
      </c>
      <c r="I1550">
        <v>467.125</v>
      </c>
    </row>
    <row r="1551" spans="1:9" x14ac:dyDescent="0.35">
      <c r="A1551" t="s">
        <v>24</v>
      </c>
      <c r="B1551" t="s">
        <v>65</v>
      </c>
      <c r="I1551">
        <v>453.25</v>
      </c>
    </row>
    <row r="1552" spans="1:9" x14ac:dyDescent="0.35">
      <c r="A1552" t="s">
        <v>24</v>
      </c>
      <c r="B1552" t="s">
        <v>66</v>
      </c>
      <c r="I1552">
        <v>434.75</v>
      </c>
    </row>
    <row r="1553" spans="1:9" x14ac:dyDescent="0.35">
      <c r="A1553" t="s">
        <v>24</v>
      </c>
      <c r="B1553" t="s">
        <v>47</v>
      </c>
      <c r="I1553">
        <v>3006.3386446489649</v>
      </c>
    </row>
    <row r="1554" spans="1:9" x14ac:dyDescent="0.35">
      <c r="A1554" t="s">
        <v>24</v>
      </c>
      <c r="B1554" t="s">
        <v>46</v>
      </c>
      <c r="I1554">
        <v>0</v>
      </c>
    </row>
    <row r="1555" spans="1:9" x14ac:dyDescent="0.35">
      <c r="A1555" t="s">
        <v>25</v>
      </c>
      <c r="B1555" t="s">
        <v>72</v>
      </c>
      <c r="I1555">
        <v>47</v>
      </c>
    </row>
    <row r="1556" spans="1:9" x14ac:dyDescent="0.35">
      <c r="A1556" t="s">
        <v>25</v>
      </c>
      <c r="B1556" t="s">
        <v>61</v>
      </c>
      <c r="I1556">
        <v>128.07499999999999</v>
      </c>
    </row>
    <row r="1557" spans="1:9" x14ac:dyDescent="0.35">
      <c r="A1557" t="s">
        <v>25</v>
      </c>
      <c r="B1557" t="s">
        <v>62</v>
      </c>
      <c r="I1557">
        <v>123.375</v>
      </c>
    </row>
    <row r="1558" spans="1:9" x14ac:dyDescent="0.35">
      <c r="A1558" t="s">
        <v>25</v>
      </c>
      <c r="B1558" t="s">
        <v>63</v>
      </c>
      <c r="I1558">
        <v>121.02500000000001</v>
      </c>
    </row>
    <row r="1559" spans="1:9" x14ac:dyDescent="0.35">
      <c r="A1559" t="s">
        <v>25</v>
      </c>
      <c r="B1559" t="s">
        <v>64</v>
      </c>
      <c r="I1559">
        <v>118.67499999999998</v>
      </c>
    </row>
    <row r="1560" spans="1:9" x14ac:dyDescent="0.35">
      <c r="A1560" t="s">
        <v>25</v>
      </c>
      <c r="B1560" t="s">
        <v>65</v>
      </c>
      <c r="I1560">
        <v>115.15</v>
      </c>
    </row>
    <row r="1561" spans="1:9" x14ac:dyDescent="0.35">
      <c r="A1561" t="s">
        <v>25</v>
      </c>
      <c r="B1561" t="s">
        <v>66</v>
      </c>
      <c r="I1561">
        <v>110.45000000000002</v>
      </c>
    </row>
    <row r="1562" spans="1:9" x14ac:dyDescent="0.35">
      <c r="A1562" t="s">
        <v>25</v>
      </c>
      <c r="B1562" t="s">
        <v>47</v>
      </c>
      <c r="I1562">
        <v>765.27653718556826</v>
      </c>
    </row>
    <row r="1563" spans="1:9" x14ac:dyDescent="0.35">
      <c r="A1563" t="s">
        <v>25</v>
      </c>
      <c r="B1563" t="s">
        <v>46</v>
      </c>
      <c r="I1563">
        <v>0</v>
      </c>
    </row>
    <row r="1564" spans="1:9" x14ac:dyDescent="0.35">
      <c r="A1564" t="s">
        <v>26</v>
      </c>
      <c r="B1564" t="s">
        <v>72</v>
      </c>
      <c r="I1564">
        <v>11</v>
      </c>
    </row>
    <row r="1565" spans="1:9" x14ac:dyDescent="0.35">
      <c r="A1565" t="s">
        <v>26</v>
      </c>
      <c r="B1565" t="s">
        <v>61</v>
      </c>
      <c r="I1565">
        <v>29.974999999999994</v>
      </c>
    </row>
    <row r="1566" spans="1:9" x14ac:dyDescent="0.35">
      <c r="A1566" t="s">
        <v>26</v>
      </c>
      <c r="B1566" t="s">
        <v>62</v>
      </c>
      <c r="I1566">
        <v>28.875</v>
      </c>
    </row>
    <row r="1567" spans="1:9" x14ac:dyDescent="0.35">
      <c r="A1567" t="s">
        <v>26</v>
      </c>
      <c r="B1567" t="s">
        <v>63</v>
      </c>
      <c r="I1567">
        <v>28.324999999999999</v>
      </c>
    </row>
    <row r="1568" spans="1:9" x14ac:dyDescent="0.35">
      <c r="A1568" t="s">
        <v>26</v>
      </c>
      <c r="B1568" t="s">
        <v>64</v>
      </c>
      <c r="I1568">
        <v>27.774999999999999</v>
      </c>
    </row>
    <row r="1569" spans="1:9" x14ac:dyDescent="0.35">
      <c r="A1569" t="s">
        <v>26</v>
      </c>
      <c r="B1569" t="s">
        <v>65</v>
      </c>
      <c r="I1569">
        <v>26.949999999999996</v>
      </c>
    </row>
    <row r="1570" spans="1:9" x14ac:dyDescent="0.35">
      <c r="A1570" t="s">
        <v>26</v>
      </c>
      <c r="B1570" t="s">
        <v>66</v>
      </c>
      <c r="I1570">
        <v>25.849999999999994</v>
      </c>
    </row>
    <row r="1571" spans="1:9" x14ac:dyDescent="0.35">
      <c r="A1571" t="s">
        <v>26</v>
      </c>
      <c r="B1571" t="s">
        <v>47</v>
      </c>
      <c r="I1571">
        <v>178.87324376674147</v>
      </c>
    </row>
    <row r="1572" spans="1:9" x14ac:dyDescent="0.35">
      <c r="A1572" t="s">
        <v>26</v>
      </c>
      <c r="B1572" t="s">
        <v>46</v>
      </c>
      <c r="I1572">
        <v>0</v>
      </c>
    </row>
    <row r="1573" spans="1:9" x14ac:dyDescent="0.35">
      <c r="A1573" t="s">
        <v>27</v>
      </c>
      <c r="B1573" t="s">
        <v>72</v>
      </c>
      <c r="I1573">
        <v>210.40000000000003</v>
      </c>
    </row>
    <row r="1574" spans="1:9" x14ac:dyDescent="0.35">
      <c r="A1574" t="s">
        <v>27</v>
      </c>
      <c r="B1574" t="s">
        <v>61</v>
      </c>
      <c r="I1574">
        <v>573.34</v>
      </c>
    </row>
    <row r="1575" spans="1:9" x14ac:dyDescent="0.35">
      <c r="A1575" t="s">
        <v>27</v>
      </c>
      <c r="B1575" t="s">
        <v>62</v>
      </c>
      <c r="I1575">
        <v>552.29999999999995</v>
      </c>
    </row>
    <row r="1576" spans="1:9" x14ac:dyDescent="0.35">
      <c r="A1576" t="s">
        <v>27</v>
      </c>
      <c r="B1576" t="s">
        <v>63</v>
      </c>
      <c r="I1576">
        <v>541.78</v>
      </c>
    </row>
    <row r="1577" spans="1:9" x14ac:dyDescent="0.35">
      <c r="A1577" t="s">
        <v>27</v>
      </c>
      <c r="B1577" t="s">
        <v>64</v>
      </c>
      <c r="I1577">
        <v>531.26</v>
      </c>
    </row>
    <row r="1578" spans="1:9" x14ac:dyDescent="0.35">
      <c r="A1578" t="s">
        <v>27</v>
      </c>
      <c r="B1578" t="s">
        <v>65</v>
      </c>
      <c r="I1578">
        <v>515.48</v>
      </c>
    </row>
    <row r="1579" spans="1:9" x14ac:dyDescent="0.35">
      <c r="A1579" t="s">
        <v>27</v>
      </c>
      <c r="B1579" t="s">
        <v>66</v>
      </c>
      <c r="I1579">
        <v>494.44</v>
      </c>
    </row>
    <row r="1580" spans="1:9" x14ac:dyDescent="0.35">
      <c r="A1580" t="s">
        <v>27</v>
      </c>
      <c r="B1580" t="s">
        <v>47</v>
      </c>
      <c r="I1580">
        <v>3418.8923153094893</v>
      </c>
    </row>
    <row r="1581" spans="1:9" x14ac:dyDescent="0.35">
      <c r="A1581" t="s">
        <v>27</v>
      </c>
      <c r="B1581" t="s">
        <v>46</v>
      </c>
      <c r="I1581">
        <v>0</v>
      </c>
    </row>
    <row r="1582" spans="1:9" x14ac:dyDescent="0.35">
      <c r="A1582" t="s">
        <v>28</v>
      </c>
      <c r="B1582" t="s">
        <v>72</v>
      </c>
      <c r="I1582">
        <v>12.400000000000002</v>
      </c>
    </row>
    <row r="1583" spans="1:9" x14ac:dyDescent="0.35">
      <c r="A1583" t="s">
        <v>28</v>
      </c>
      <c r="B1583" t="s">
        <v>61</v>
      </c>
      <c r="I1583">
        <v>33.79</v>
      </c>
    </row>
    <row r="1584" spans="1:9" x14ac:dyDescent="0.35">
      <c r="A1584" t="s">
        <v>28</v>
      </c>
      <c r="B1584" t="s">
        <v>62</v>
      </c>
      <c r="I1584">
        <v>32.549999999999997</v>
      </c>
    </row>
    <row r="1585" spans="1:10" x14ac:dyDescent="0.35">
      <c r="A1585" t="s">
        <v>28</v>
      </c>
      <c r="B1585" t="s">
        <v>63</v>
      </c>
      <c r="I1585">
        <v>31.93</v>
      </c>
    </row>
    <row r="1586" spans="1:10" x14ac:dyDescent="0.35">
      <c r="A1586" t="s">
        <v>28</v>
      </c>
      <c r="B1586" t="s">
        <v>64</v>
      </c>
      <c r="I1586">
        <v>31.309999999999995</v>
      </c>
    </row>
    <row r="1587" spans="1:10" x14ac:dyDescent="0.35">
      <c r="A1587" t="s">
        <v>28</v>
      </c>
      <c r="B1587" t="s">
        <v>65</v>
      </c>
      <c r="I1587">
        <v>30.380000000000003</v>
      </c>
    </row>
    <row r="1588" spans="1:10" x14ac:dyDescent="0.35">
      <c r="A1588" t="s">
        <v>28</v>
      </c>
      <c r="B1588" t="s">
        <v>66</v>
      </c>
      <c r="I1588">
        <v>29.14</v>
      </c>
    </row>
    <row r="1589" spans="1:10" x14ac:dyDescent="0.35">
      <c r="A1589" t="s">
        <v>28</v>
      </c>
      <c r="B1589" t="s">
        <v>47</v>
      </c>
      <c r="I1589">
        <v>200.20811552019273</v>
      </c>
    </row>
    <row r="1590" spans="1:10" x14ac:dyDescent="0.35">
      <c r="A1590" t="s">
        <v>28</v>
      </c>
      <c r="B1590" t="s">
        <v>46</v>
      </c>
      <c r="I1590">
        <v>0</v>
      </c>
    </row>
    <row r="1591" spans="1:10" x14ac:dyDescent="0.35">
      <c r="A1591" t="s">
        <v>29</v>
      </c>
      <c r="B1591" t="s">
        <v>72</v>
      </c>
      <c r="I1591">
        <v>2006.8000000000002</v>
      </c>
    </row>
    <row r="1592" spans="1:10" x14ac:dyDescent="0.35">
      <c r="A1592" t="s">
        <v>29</v>
      </c>
      <c r="B1592" t="s">
        <v>61</v>
      </c>
      <c r="I1592">
        <v>5468.5300000000007</v>
      </c>
    </row>
    <row r="1593" spans="1:10" x14ac:dyDescent="0.35">
      <c r="A1593" t="s">
        <v>29</v>
      </c>
      <c r="B1593" t="s">
        <v>62</v>
      </c>
      <c r="I1593">
        <v>5267.85</v>
      </c>
    </row>
    <row r="1594" spans="1:10" x14ac:dyDescent="0.35">
      <c r="A1594" t="s">
        <v>29</v>
      </c>
      <c r="B1594" t="s">
        <v>63</v>
      </c>
      <c r="I1594">
        <v>5167.51</v>
      </c>
    </row>
    <row r="1595" spans="1:10" x14ac:dyDescent="0.35">
      <c r="A1595" t="s">
        <v>29</v>
      </c>
      <c r="B1595" t="s">
        <v>64</v>
      </c>
      <c r="I1595">
        <v>5067.1700000000019</v>
      </c>
    </row>
    <row r="1596" spans="1:10" x14ac:dyDescent="0.35">
      <c r="A1596" t="s">
        <v>29</v>
      </c>
      <c r="B1596" t="s">
        <v>65</v>
      </c>
      <c r="I1596">
        <v>4916.6599999999989</v>
      </c>
    </row>
    <row r="1597" spans="1:10" x14ac:dyDescent="0.35">
      <c r="A1597" t="s">
        <v>29</v>
      </c>
      <c r="B1597" t="s">
        <v>66</v>
      </c>
      <c r="I1597">
        <v>4715.9799999999996</v>
      </c>
    </row>
    <row r="1598" spans="1:10" x14ac:dyDescent="0.35">
      <c r="A1598" t="s">
        <v>29</v>
      </c>
      <c r="B1598" t="s">
        <v>47</v>
      </c>
      <c r="I1598">
        <v>32499.999999999993</v>
      </c>
    </row>
    <row r="1599" spans="1:10" x14ac:dyDescent="0.35">
      <c r="A1599" t="s">
        <v>29</v>
      </c>
      <c r="B1599" t="s">
        <v>46</v>
      </c>
      <c r="I1599">
        <v>0</v>
      </c>
    </row>
    <row r="1600" spans="1:10" x14ac:dyDescent="0.35">
      <c r="A1600" t="s">
        <v>2</v>
      </c>
      <c r="B1600" t="s">
        <v>72</v>
      </c>
      <c r="J1600">
        <v>5.1830821867947883</v>
      </c>
    </row>
    <row r="1601" spans="1:10" x14ac:dyDescent="0.35">
      <c r="A1601" t="s">
        <v>2</v>
      </c>
      <c r="B1601" t="s">
        <v>61</v>
      </c>
      <c r="J1601">
        <v>14.123898959015797</v>
      </c>
    </row>
    <row r="1602" spans="1:10" x14ac:dyDescent="0.35">
      <c r="A1602" t="s">
        <v>2</v>
      </c>
      <c r="B1602" t="s">
        <v>62</v>
      </c>
      <c r="J1602">
        <v>13.60559074033632</v>
      </c>
    </row>
    <row r="1603" spans="1:10" x14ac:dyDescent="0.35">
      <c r="A1603" t="s">
        <v>2</v>
      </c>
      <c r="B1603" t="s">
        <v>63</v>
      </c>
      <c r="J1603">
        <v>13.34643663099658</v>
      </c>
    </row>
    <row r="1604" spans="1:10" x14ac:dyDescent="0.35">
      <c r="A1604" t="s">
        <v>2</v>
      </c>
      <c r="B1604" t="s">
        <v>64</v>
      </c>
      <c r="J1604">
        <v>13.08728252165684</v>
      </c>
    </row>
    <row r="1605" spans="1:10" x14ac:dyDescent="0.35">
      <c r="A1605" t="s">
        <v>2</v>
      </c>
      <c r="B1605" t="s">
        <v>65</v>
      </c>
      <c r="J1605">
        <v>12.698551357647231</v>
      </c>
    </row>
    <row r="1606" spans="1:10" x14ac:dyDescent="0.35">
      <c r="A1606" t="s">
        <v>2</v>
      </c>
      <c r="B1606" t="s">
        <v>66</v>
      </c>
      <c r="J1606">
        <v>12.180243138967752</v>
      </c>
    </row>
    <row r="1607" spans="1:10" x14ac:dyDescent="0.35">
      <c r="A1607" t="s">
        <v>2</v>
      </c>
      <c r="B1607" t="s">
        <v>47</v>
      </c>
      <c r="J1607">
        <v>84.294861071164746</v>
      </c>
    </row>
    <row r="1608" spans="1:10" x14ac:dyDescent="0.35">
      <c r="A1608" t="s">
        <v>3</v>
      </c>
      <c r="B1608" t="s">
        <v>72</v>
      </c>
      <c r="J1608">
        <v>11.50884319201151</v>
      </c>
    </row>
    <row r="1609" spans="1:10" x14ac:dyDescent="0.35">
      <c r="A1609" t="s">
        <v>3</v>
      </c>
      <c r="B1609" t="s">
        <v>61</v>
      </c>
      <c r="J1609">
        <v>31.361597698231357</v>
      </c>
    </row>
    <row r="1610" spans="1:10" x14ac:dyDescent="0.35">
      <c r="A1610" t="s">
        <v>3</v>
      </c>
      <c r="B1610" t="s">
        <v>62</v>
      </c>
      <c r="J1610">
        <v>30.21071337903021</v>
      </c>
    </row>
    <row r="1611" spans="1:10" x14ac:dyDescent="0.35">
      <c r="A1611" t="s">
        <v>3</v>
      </c>
      <c r="B1611" t="s">
        <v>63</v>
      </c>
      <c r="J1611">
        <v>29.635271219429633</v>
      </c>
    </row>
    <row r="1612" spans="1:10" x14ac:dyDescent="0.35">
      <c r="A1612" t="s">
        <v>3</v>
      </c>
      <c r="B1612" t="s">
        <v>64</v>
      </c>
      <c r="J1612">
        <v>29.059829059829063</v>
      </c>
    </row>
    <row r="1613" spans="1:10" x14ac:dyDescent="0.35">
      <c r="A1613" t="s">
        <v>3</v>
      </c>
      <c r="B1613" t="s">
        <v>65</v>
      </c>
      <c r="J1613">
        <v>28.196665820428194</v>
      </c>
    </row>
    <row r="1614" spans="1:10" x14ac:dyDescent="0.35">
      <c r="A1614" t="s">
        <v>3</v>
      </c>
      <c r="B1614" t="s">
        <v>66</v>
      </c>
      <c r="J1614">
        <v>27.045781501227044</v>
      </c>
    </row>
    <row r="1615" spans="1:10" x14ac:dyDescent="0.35">
      <c r="A1615" t="s">
        <v>3</v>
      </c>
      <c r="B1615" t="s">
        <v>47</v>
      </c>
      <c r="J1615">
        <v>187.27030282241145</v>
      </c>
    </row>
    <row r="1616" spans="1:10" x14ac:dyDescent="0.35">
      <c r="A1616" t="s">
        <v>4</v>
      </c>
      <c r="B1616" t="s">
        <v>72</v>
      </c>
      <c r="J1616">
        <v>31.859322472200674</v>
      </c>
    </row>
    <row r="1617" spans="1:10" x14ac:dyDescent="0.35">
      <c r="A1617" t="s">
        <v>4</v>
      </c>
      <c r="B1617" t="s">
        <v>61</v>
      </c>
      <c r="J1617">
        <v>86.816653736746829</v>
      </c>
    </row>
    <row r="1618" spans="1:10" x14ac:dyDescent="0.35">
      <c r="A1618" t="s">
        <v>4</v>
      </c>
      <c r="B1618" t="s">
        <v>62</v>
      </c>
      <c r="J1618">
        <v>83.630721489526763</v>
      </c>
    </row>
    <row r="1619" spans="1:10" x14ac:dyDescent="0.35">
      <c r="A1619" t="s">
        <v>4</v>
      </c>
      <c r="B1619" t="s">
        <v>63</v>
      </c>
      <c r="J1619">
        <v>82.037755365916723</v>
      </c>
    </row>
    <row r="1620" spans="1:10" x14ac:dyDescent="0.35">
      <c r="A1620" t="s">
        <v>4</v>
      </c>
      <c r="B1620" t="s">
        <v>64</v>
      </c>
      <c r="J1620">
        <v>80.444789242306697</v>
      </c>
    </row>
    <row r="1621" spans="1:10" x14ac:dyDescent="0.35">
      <c r="A1621" t="s">
        <v>4</v>
      </c>
      <c r="B1621" t="s">
        <v>65</v>
      </c>
      <c r="J1621">
        <v>78.055340056891637</v>
      </c>
    </row>
    <row r="1622" spans="1:10" x14ac:dyDescent="0.35">
      <c r="A1622" t="s">
        <v>4</v>
      </c>
      <c r="B1622" t="s">
        <v>66</v>
      </c>
      <c r="J1622">
        <v>74.869407809671571</v>
      </c>
    </row>
    <row r="1623" spans="1:10" x14ac:dyDescent="0.35">
      <c r="A1623" t="s">
        <v>4</v>
      </c>
      <c r="B1623" t="s">
        <v>47</v>
      </c>
      <c r="J1623">
        <v>517.09134322381169</v>
      </c>
    </row>
    <row r="1624" spans="1:10" x14ac:dyDescent="0.35">
      <c r="A1624" t="s">
        <v>5</v>
      </c>
      <c r="B1624" t="s">
        <v>72</v>
      </c>
      <c r="J1624">
        <v>26.790954600379774</v>
      </c>
    </row>
    <row r="1625" spans="1:10" x14ac:dyDescent="0.35">
      <c r="A1625" t="s">
        <v>5</v>
      </c>
      <c r="B1625" t="s">
        <v>61</v>
      </c>
      <c r="J1625">
        <v>73.005351286034866</v>
      </c>
    </row>
    <row r="1626" spans="1:10" x14ac:dyDescent="0.35">
      <c r="A1626" t="s">
        <v>5</v>
      </c>
      <c r="B1626" t="s">
        <v>62</v>
      </c>
      <c r="J1626">
        <v>70.326255825996896</v>
      </c>
    </row>
    <row r="1627" spans="1:10" x14ac:dyDescent="0.35">
      <c r="A1627" t="s">
        <v>5</v>
      </c>
      <c r="B1627" t="s">
        <v>63</v>
      </c>
      <c r="J1627">
        <v>68.986708095977903</v>
      </c>
    </row>
    <row r="1628" spans="1:10" x14ac:dyDescent="0.35">
      <c r="A1628" t="s">
        <v>5</v>
      </c>
      <c r="B1628" t="s">
        <v>64</v>
      </c>
      <c r="J1628">
        <v>67.647160365958911</v>
      </c>
    </row>
    <row r="1629" spans="1:10" x14ac:dyDescent="0.35">
      <c r="A1629" t="s">
        <v>5</v>
      </c>
      <c r="B1629" t="s">
        <v>65</v>
      </c>
      <c r="J1629">
        <v>65.637838770930429</v>
      </c>
    </row>
    <row r="1630" spans="1:10" x14ac:dyDescent="0.35">
      <c r="A1630" t="s">
        <v>5</v>
      </c>
      <c r="B1630" t="s">
        <v>66</v>
      </c>
      <c r="J1630">
        <v>62.958743310892459</v>
      </c>
    </row>
    <row r="1631" spans="1:10" x14ac:dyDescent="0.35">
      <c r="A1631" t="s">
        <v>5</v>
      </c>
      <c r="B1631" t="s">
        <v>47</v>
      </c>
      <c r="J1631">
        <v>436.06832350235436</v>
      </c>
    </row>
    <row r="1632" spans="1:10" x14ac:dyDescent="0.35">
      <c r="A1632" t="s">
        <v>6</v>
      </c>
      <c r="B1632" t="s">
        <v>72</v>
      </c>
      <c r="J1632">
        <v>11.042097998619738</v>
      </c>
    </row>
    <row r="1633" spans="1:10" x14ac:dyDescent="0.35">
      <c r="A1633" t="s">
        <v>6</v>
      </c>
      <c r="B1633" t="s">
        <v>61</v>
      </c>
      <c r="J1633">
        <v>30.089717046238786</v>
      </c>
    </row>
    <row r="1634" spans="1:10" x14ac:dyDescent="0.35">
      <c r="A1634" t="s">
        <v>6</v>
      </c>
      <c r="B1634" t="s">
        <v>62</v>
      </c>
      <c r="J1634">
        <v>28.985507246376812</v>
      </c>
    </row>
    <row r="1635" spans="1:10" x14ac:dyDescent="0.35">
      <c r="A1635" t="s">
        <v>6</v>
      </c>
      <c r="B1635" t="s">
        <v>63</v>
      </c>
      <c r="J1635">
        <v>28.433402346445828</v>
      </c>
    </row>
    <row r="1636" spans="1:10" x14ac:dyDescent="0.35">
      <c r="A1636" t="s">
        <v>6</v>
      </c>
      <c r="B1636" t="s">
        <v>64</v>
      </c>
      <c r="J1636">
        <v>27.881297446514839</v>
      </c>
    </row>
    <row r="1637" spans="1:10" x14ac:dyDescent="0.35">
      <c r="A1637" t="s">
        <v>6</v>
      </c>
      <c r="B1637" t="s">
        <v>65</v>
      </c>
      <c r="J1637">
        <v>27.05314009661836</v>
      </c>
    </row>
    <row r="1638" spans="1:10" x14ac:dyDescent="0.35">
      <c r="A1638" t="s">
        <v>6</v>
      </c>
      <c r="B1638" t="s">
        <v>66</v>
      </c>
      <c r="J1638">
        <v>25.948930296756384</v>
      </c>
    </row>
    <row r="1639" spans="1:10" x14ac:dyDescent="0.35">
      <c r="A1639" t="s">
        <v>6</v>
      </c>
      <c r="B1639" t="s">
        <v>47</v>
      </c>
      <c r="J1639">
        <v>180.98399907722799</v>
      </c>
    </row>
    <row r="1640" spans="1:10" x14ac:dyDescent="0.35">
      <c r="A1640" t="s">
        <v>7</v>
      </c>
      <c r="B1640" t="s">
        <v>72</v>
      </c>
      <c r="J1640">
        <v>11.742042014494084</v>
      </c>
    </row>
    <row r="1641" spans="1:10" x14ac:dyDescent="0.35">
      <c r="A1641" t="s">
        <v>7</v>
      </c>
      <c r="B1641" t="s">
        <v>61</v>
      </c>
      <c r="J1641">
        <v>31.997064489496378</v>
      </c>
    </row>
    <row r="1642" spans="1:10" x14ac:dyDescent="0.35">
      <c r="A1642" t="s">
        <v>7</v>
      </c>
      <c r="B1642" t="s">
        <v>62</v>
      </c>
      <c r="J1642">
        <v>30.822860288046968</v>
      </c>
    </row>
    <row r="1643" spans="1:10" x14ac:dyDescent="0.35">
      <c r="A1643" t="s">
        <v>7</v>
      </c>
      <c r="B1643" t="s">
        <v>63</v>
      </c>
      <c r="J1643">
        <v>30.235758187322265</v>
      </c>
    </row>
    <row r="1644" spans="1:10" x14ac:dyDescent="0.35">
      <c r="A1644" t="s">
        <v>7</v>
      </c>
      <c r="B1644" t="s">
        <v>64</v>
      </c>
      <c r="J1644">
        <v>29.648656086597558</v>
      </c>
    </row>
    <row r="1645" spans="1:10" x14ac:dyDescent="0.35">
      <c r="A1645" t="s">
        <v>7</v>
      </c>
      <c r="B1645" t="s">
        <v>65</v>
      </c>
      <c r="J1645">
        <v>28.768002935510506</v>
      </c>
    </row>
    <row r="1646" spans="1:10" x14ac:dyDescent="0.35">
      <c r="A1646" t="s">
        <v>7</v>
      </c>
      <c r="B1646" t="s">
        <v>66</v>
      </c>
      <c r="J1646">
        <v>27.593798734061096</v>
      </c>
    </row>
    <row r="1647" spans="1:10" x14ac:dyDescent="0.35">
      <c r="A1647" t="s">
        <v>7</v>
      </c>
      <c r="B1647" t="s">
        <v>47</v>
      </c>
      <c r="J1647">
        <v>191.00809997773106</v>
      </c>
    </row>
    <row r="1648" spans="1:10" x14ac:dyDescent="0.35">
      <c r="A1648" t="s">
        <v>8</v>
      </c>
      <c r="B1648" t="s">
        <v>72</v>
      </c>
      <c r="J1648">
        <v>4.4735223396521837</v>
      </c>
    </row>
    <row r="1649" spans="1:10" x14ac:dyDescent="0.35">
      <c r="A1649" t="s">
        <v>8</v>
      </c>
      <c r="B1649" t="s">
        <v>61</v>
      </c>
      <c r="J1649">
        <v>12.190348375552201</v>
      </c>
    </row>
    <row r="1650" spans="1:10" x14ac:dyDescent="0.35">
      <c r="A1650" t="s">
        <v>8</v>
      </c>
      <c r="B1650" t="s">
        <v>62</v>
      </c>
      <c r="J1650">
        <v>11.742996141586982</v>
      </c>
    </row>
    <row r="1651" spans="1:10" x14ac:dyDescent="0.35">
      <c r="A1651" t="s">
        <v>8</v>
      </c>
      <c r="B1651" t="s">
        <v>63</v>
      </c>
      <c r="J1651">
        <v>11.519320024604372</v>
      </c>
    </row>
    <row r="1652" spans="1:10" x14ac:dyDescent="0.35">
      <c r="A1652" t="s">
        <v>8</v>
      </c>
      <c r="B1652" t="s">
        <v>64</v>
      </c>
      <c r="J1652">
        <v>11.295643907621763</v>
      </c>
    </row>
    <row r="1653" spans="1:10" x14ac:dyDescent="0.35">
      <c r="A1653" t="s">
        <v>8</v>
      </c>
      <c r="B1653" t="s">
        <v>65</v>
      </c>
      <c r="J1653">
        <v>10.960129732147848</v>
      </c>
    </row>
    <row r="1654" spans="1:10" x14ac:dyDescent="0.35">
      <c r="A1654" t="s">
        <v>8</v>
      </c>
      <c r="B1654" t="s">
        <v>66</v>
      </c>
      <c r="J1654">
        <v>10.512777498182631</v>
      </c>
    </row>
    <row r="1655" spans="1:10" x14ac:dyDescent="0.35">
      <c r="A1655" t="s">
        <v>8</v>
      </c>
      <c r="B1655" t="s">
        <v>47</v>
      </c>
      <c r="J1655">
        <v>72.698207782491991</v>
      </c>
    </row>
    <row r="1656" spans="1:10" x14ac:dyDescent="0.35">
      <c r="A1656" t="s">
        <v>9</v>
      </c>
      <c r="B1656" t="s">
        <v>72</v>
      </c>
      <c r="J1656">
        <v>11.248484848484848</v>
      </c>
    </row>
    <row r="1657" spans="1:10" x14ac:dyDescent="0.35">
      <c r="A1657" t="s">
        <v>9</v>
      </c>
      <c r="B1657" t="s">
        <v>61</v>
      </c>
      <c r="J1657">
        <v>30.652121212121212</v>
      </c>
    </row>
    <row r="1658" spans="1:10" x14ac:dyDescent="0.35">
      <c r="A1658" t="s">
        <v>9</v>
      </c>
      <c r="B1658" t="s">
        <v>62</v>
      </c>
      <c r="J1658">
        <v>29.527272727272727</v>
      </c>
    </row>
    <row r="1659" spans="1:10" x14ac:dyDescent="0.35">
      <c r="A1659" t="s">
        <v>9</v>
      </c>
      <c r="B1659" t="s">
        <v>63</v>
      </c>
      <c r="J1659">
        <v>28.964848484848481</v>
      </c>
    </row>
    <row r="1660" spans="1:10" x14ac:dyDescent="0.35">
      <c r="A1660" t="s">
        <v>9</v>
      </c>
      <c r="B1660" t="s">
        <v>64</v>
      </c>
      <c r="J1660">
        <v>28.402424242424242</v>
      </c>
    </row>
    <row r="1661" spans="1:10" x14ac:dyDescent="0.35">
      <c r="A1661" t="s">
        <v>9</v>
      </c>
      <c r="B1661" t="s">
        <v>65</v>
      </c>
      <c r="J1661">
        <v>27.558787878787879</v>
      </c>
    </row>
    <row r="1662" spans="1:10" x14ac:dyDescent="0.35">
      <c r="A1662" t="s">
        <v>9</v>
      </c>
      <c r="B1662" t="s">
        <v>66</v>
      </c>
      <c r="J1662">
        <v>26.433939393939394</v>
      </c>
    </row>
    <row r="1663" spans="1:10" x14ac:dyDescent="0.35">
      <c r="A1663" t="s">
        <v>9</v>
      </c>
      <c r="B1663" t="s">
        <v>47</v>
      </c>
      <c r="J1663">
        <v>180.6007959060484</v>
      </c>
    </row>
    <row r="1664" spans="1:10" x14ac:dyDescent="0.35">
      <c r="A1664" t="s">
        <v>10</v>
      </c>
      <c r="B1664" t="s">
        <v>72</v>
      </c>
      <c r="J1664">
        <v>8.4701403759219609</v>
      </c>
    </row>
    <row r="1665" spans="1:10" x14ac:dyDescent="0.35">
      <c r="A1665" t="s">
        <v>10</v>
      </c>
      <c r="B1665" t="s">
        <v>61</v>
      </c>
      <c r="J1665">
        <v>23.081132524387343</v>
      </c>
    </row>
    <row r="1666" spans="1:10" x14ac:dyDescent="0.35">
      <c r="A1666" t="s">
        <v>10</v>
      </c>
      <c r="B1666" t="s">
        <v>62</v>
      </c>
      <c r="J1666">
        <v>22.234118486795147</v>
      </c>
    </row>
    <row r="1667" spans="1:10" x14ac:dyDescent="0.35">
      <c r="A1667" t="s">
        <v>10</v>
      </c>
      <c r="B1667" t="s">
        <v>63</v>
      </c>
      <c r="J1667">
        <v>21.810611467999049</v>
      </c>
    </row>
    <row r="1668" spans="1:10" x14ac:dyDescent="0.35">
      <c r="A1668" t="s">
        <v>10</v>
      </c>
      <c r="B1668" t="s">
        <v>64</v>
      </c>
      <c r="J1668">
        <v>21.387104449202951</v>
      </c>
    </row>
    <row r="1669" spans="1:10" x14ac:dyDescent="0.35">
      <c r="A1669" t="s">
        <v>10</v>
      </c>
      <c r="B1669" t="s">
        <v>65</v>
      </c>
      <c r="J1669">
        <v>20.751843921008803</v>
      </c>
    </row>
    <row r="1670" spans="1:10" x14ac:dyDescent="0.35">
      <c r="A1670" t="s">
        <v>10</v>
      </c>
      <c r="B1670" t="s">
        <v>66</v>
      </c>
      <c r="J1670">
        <v>19.904829883416607</v>
      </c>
    </row>
    <row r="1671" spans="1:10" x14ac:dyDescent="0.35">
      <c r="A1671" t="s">
        <v>10</v>
      </c>
      <c r="B1671" t="s">
        <v>47</v>
      </c>
      <c r="J1671">
        <v>82.83564688214895</v>
      </c>
    </row>
    <row r="1672" spans="1:10" x14ac:dyDescent="0.35">
      <c r="A1672" t="s">
        <v>11</v>
      </c>
      <c r="B1672" t="s">
        <v>72</v>
      </c>
      <c r="J1672">
        <v>8.7166080009347588</v>
      </c>
    </row>
    <row r="1673" spans="1:10" x14ac:dyDescent="0.35">
      <c r="A1673" t="s">
        <v>11</v>
      </c>
      <c r="B1673" t="s">
        <v>61</v>
      </c>
      <c r="J1673">
        <v>23.752756802547214</v>
      </c>
    </row>
    <row r="1674" spans="1:10" x14ac:dyDescent="0.35">
      <c r="A1674" t="s">
        <v>11</v>
      </c>
      <c r="B1674" t="s">
        <v>62</v>
      </c>
      <c r="J1674">
        <v>22.881096002453738</v>
      </c>
    </row>
    <row r="1675" spans="1:10" x14ac:dyDescent="0.35">
      <c r="A1675" t="s">
        <v>11</v>
      </c>
      <c r="B1675" t="s">
        <v>63</v>
      </c>
      <c r="J1675">
        <v>22.445265602406998</v>
      </c>
    </row>
    <row r="1676" spans="1:10" x14ac:dyDescent="0.35">
      <c r="A1676" t="s">
        <v>11</v>
      </c>
      <c r="B1676" t="s">
        <v>64</v>
      </c>
      <c r="J1676">
        <v>22.009435202360262</v>
      </c>
    </row>
    <row r="1677" spans="1:10" x14ac:dyDescent="0.35">
      <c r="A1677" t="s">
        <v>11</v>
      </c>
      <c r="B1677" t="s">
        <v>65</v>
      </c>
      <c r="J1677">
        <v>21.355689602290152</v>
      </c>
    </row>
    <row r="1678" spans="1:10" x14ac:dyDescent="0.35">
      <c r="A1678" t="s">
        <v>11</v>
      </c>
      <c r="B1678" t="s">
        <v>66</v>
      </c>
      <c r="J1678">
        <v>20.484028802196676</v>
      </c>
    </row>
    <row r="1679" spans="1:10" x14ac:dyDescent="0.35">
      <c r="A1679" t="s">
        <v>11</v>
      </c>
      <c r="B1679" t="s">
        <v>47</v>
      </c>
      <c r="J1679">
        <v>141.70963524285074</v>
      </c>
    </row>
    <row r="1680" spans="1:10" x14ac:dyDescent="0.35">
      <c r="A1680" t="s">
        <v>12</v>
      </c>
      <c r="B1680" t="s">
        <v>72</v>
      </c>
      <c r="J1680">
        <v>5.2275051124744376</v>
      </c>
    </row>
    <row r="1681" spans="1:10" x14ac:dyDescent="0.35">
      <c r="A1681" t="s">
        <v>12</v>
      </c>
      <c r="B1681" t="s">
        <v>61</v>
      </c>
      <c r="J1681">
        <v>14.244951431492842</v>
      </c>
    </row>
    <row r="1682" spans="1:10" x14ac:dyDescent="0.35">
      <c r="A1682" t="s">
        <v>12</v>
      </c>
      <c r="B1682" t="s">
        <v>62</v>
      </c>
      <c r="J1682">
        <v>13.722200920245399</v>
      </c>
    </row>
    <row r="1683" spans="1:10" x14ac:dyDescent="0.35">
      <c r="A1683" t="s">
        <v>12</v>
      </c>
      <c r="B1683" t="s">
        <v>63</v>
      </c>
      <c r="J1683">
        <v>13.460825664621675</v>
      </c>
    </row>
    <row r="1684" spans="1:10" x14ac:dyDescent="0.35">
      <c r="A1684" t="s">
        <v>12</v>
      </c>
      <c r="B1684" t="s">
        <v>64</v>
      </c>
      <c r="J1684">
        <v>13.199450408997954</v>
      </c>
    </row>
    <row r="1685" spans="1:10" x14ac:dyDescent="0.35">
      <c r="A1685" t="s">
        <v>12</v>
      </c>
      <c r="B1685" t="s">
        <v>65</v>
      </c>
      <c r="J1685">
        <v>12.807387525562371</v>
      </c>
    </row>
    <row r="1686" spans="1:10" x14ac:dyDescent="0.35">
      <c r="A1686" t="s">
        <v>12</v>
      </c>
      <c r="B1686" t="s">
        <v>66</v>
      </c>
      <c r="J1686">
        <v>12.284637014314928</v>
      </c>
    </row>
    <row r="1687" spans="1:10" x14ac:dyDescent="0.35">
      <c r="A1687" t="s">
        <v>12</v>
      </c>
      <c r="B1687" t="s">
        <v>47</v>
      </c>
      <c r="J1687">
        <v>84.965715724352791</v>
      </c>
    </row>
    <row r="1688" spans="1:10" x14ac:dyDescent="0.35">
      <c r="A1688" t="s">
        <v>13</v>
      </c>
      <c r="B1688" t="s">
        <v>72</v>
      </c>
      <c r="J1688">
        <v>28.304970675896548</v>
      </c>
    </row>
    <row r="1689" spans="1:10" x14ac:dyDescent="0.35">
      <c r="A1689" t="s">
        <v>13</v>
      </c>
      <c r="B1689" t="s">
        <v>61</v>
      </c>
      <c r="J1689">
        <v>77.131045091818081</v>
      </c>
    </row>
    <row r="1690" spans="1:10" x14ac:dyDescent="0.35">
      <c r="A1690" t="s">
        <v>13</v>
      </c>
      <c r="B1690" t="s">
        <v>62</v>
      </c>
      <c r="J1690">
        <v>74.300548024228448</v>
      </c>
    </row>
    <row r="1691" spans="1:10" x14ac:dyDescent="0.35">
      <c r="A1691" t="s">
        <v>13</v>
      </c>
      <c r="B1691" t="s">
        <v>63</v>
      </c>
      <c r="J1691">
        <v>72.88529949043361</v>
      </c>
    </row>
    <row r="1692" spans="1:10" x14ac:dyDescent="0.35">
      <c r="A1692" t="s">
        <v>13</v>
      </c>
      <c r="B1692" t="s">
        <v>64</v>
      </c>
      <c r="J1692">
        <v>71.470050956638786</v>
      </c>
    </row>
    <row r="1693" spans="1:10" x14ac:dyDescent="0.35">
      <c r="A1693" t="s">
        <v>13</v>
      </c>
      <c r="B1693" t="s">
        <v>65</v>
      </c>
      <c r="J1693">
        <v>69.347178155946551</v>
      </c>
    </row>
    <row r="1694" spans="1:10" x14ac:dyDescent="0.35">
      <c r="A1694" t="s">
        <v>13</v>
      </c>
      <c r="B1694" t="s">
        <v>66</v>
      </c>
      <c r="J1694">
        <v>66.51668108835689</v>
      </c>
    </row>
    <row r="1695" spans="1:10" x14ac:dyDescent="0.35">
      <c r="A1695" t="s">
        <v>13</v>
      </c>
      <c r="B1695" t="s">
        <v>47</v>
      </c>
      <c r="J1695">
        <v>459.8075323701903</v>
      </c>
    </row>
    <row r="1696" spans="1:10" x14ac:dyDescent="0.35">
      <c r="A1696" t="s">
        <v>14</v>
      </c>
      <c r="B1696" t="s">
        <v>72</v>
      </c>
      <c r="J1696">
        <v>24.093201182403057</v>
      </c>
    </row>
    <row r="1697" spans="1:10" x14ac:dyDescent="0.35">
      <c r="A1697" t="s">
        <v>14</v>
      </c>
      <c r="B1697" t="s">
        <v>61</v>
      </c>
      <c r="J1697">
        <v>65.653973222048336</v>
      </c>
    </row>
    <row r="1698" spans="1:10" x14ac:dyDescent="0.35">
      <c r="A1698" t="s">
        <v>14</v>
      </c>
      <c r="B1698" t="s">
        <v>62</v>
      </c>
      <c r="J1698">
        <v>63.24465310380802</v>
      </c>
    </row>
    <row r="1699" spans="1:10" x14ac:dyDescent="0.35">
      <c r="A1699" t="s">
        <v>14</v>
      </c>
      <c r="B1699" t="s">
        <v>63</v>
      </c>
      <c r="J1699">
        <v>62.039993044687876</v>
      </c>
    </row>
    <row r="1700" spans="1:10" x14ac:dyDescent="0.35">
      <c r="A1700" t="s">
        <v>14</v>
      </c>
      <c r="B1700" t="s">
        <v>64</v>
      </c>
      <c r="J1700">
        <v>60.835332985567725</v>
      </c>
    </row>
    <row r="1701" spans="1:10" x14ac:dyDescent="0.35">
      <c r="A1701" t="s">
        <v>14</v>
      </c>
      <c r="B1701" t="s">
        <v>65</v>
      </c>
      <c r="J1701">
        <v>59.028342896887487</v>
      </c>
    </row>
    <row r="1702" spans="1:10" x14ac:dyDescent="0.35">
      <c r="A1702" t="s">
        <v>14</v>
      </c>
      <c r="B1702" t="s">
        <v>66</v>
      </c>
      <c r="J1702">
        <v>56.619022778647178</v>
      </c>
    </row>
    <row r="1703" spans="1:10" x14ac:dyDescent="0.35">
      <c r="A1703" t="s">
        <v>14</v>
      </c>
      <c r="B1703" t="s">
        <v>47</v>
      </c>
      <c r="J1703">
        <v>391.71875140059785</v>
      </c>
    </row>
    <row r="1704" spans="1:10" x14ac:dyDescent="0.35">
      <c r="A1704" t="s">
        <v>15</v>
      </c>
      <c r="B1704" t="s">
        <v>72</v>
      </c>
      <c r="J1704">
        <v>10.164424514200299</v>
      </c>
    </row>
    <row r="1705" spans="1:10" x14ac:dyDescent="0.35">
      <c r="A1705" t="s">
        <v>15</v>
      </c>
      <c r="B1705" t="s">
        <v>61</v>
      </c>
      <c r="J1705">
        <v>27.698056801195815</v>
      </c>
    </row>
    <row r="1706" spans="1:10" x14ac:dyDescent="0.35">
      <c r="A1706" t="s">
        <v>15</v>
      </c>
      <c r="B1706" t="s">
        <v>62</v>
      </c>
      <c r="J1706">
        <v>26.681614349775785</v>
      </c>
    </row>
    <row r="1707" spans="1:10" x14ac:dyDescent="0.35">
      <c r="A1707" t="s">
        <v>15</v>
      </c>
      <c r="B1707" t="s">
        <v>63</v>
      </c>
      <c r="J1707">
        <v>26.173393124065772</v>
      </c>
    </row>
    <row r="1708" spans="1:10" x14ac:dyDescent="0.35">
      <c r="A1708" t="s">
        <v>15</v>
      </c>
      <c r="B1708" t="s">
        <v>64</v>
      </c>
      <c r="J1708">
        <v>25.665171898355755</v>
      </c>
    </row>
    <row r="1709" spans="1:10" x14ac:dyDescent="0.35">
      <c r="A1709" t="s">
        <v>15</v>
      </c>
      <c r="B1709" t="s">
        <v>65</v>
      </c>
      <c r="J1709">
        <v>24.90284005979073</v>
      </c>
    </row>
    <row r="1710" spans="1:10" x14ac:dyDescent="0.35">
      <c r="A1710" t="s">
        <v>15</v>
      </c>
      <c r="B1710" t="s">
        <v>66</v>
      </c>
      <c r="J1710">
        <v>23.886397608370704</v>
      </c>
    </row>
    <row r="1711" spans="1:10" x14ac:dyDescent="0.35">
      <c r="A1711" t="s">
        <v>15</v>
      </c>
      <c r="B1711" t="s">
        <v>47</v>
      </c>
      <c r="J1711">
        <v>165.28156831995597</v>
      </c>
    </row>
    <row r="1712" spans="1:10" x14ac:dyDescent="0.35">
      <c r="A1712" t="s">
        <v>16</v>
      </c>
      <c r="B1712" t="s">
        <v>72</v>
      </c>
      <c r="J1712">
        <v>9.7765568386721178</v>
      </c>
    </row>
    <row r="1713" spans="1:10" x14ac:dyDescent="0.35">
      <c r="A1713" t="s">
        <v>16</v>
      </c>
      <c r="B1713" t="s">
        <v>61</v>
      </c>
      <c r="J1713">
        <v>26.641117385381516</v>
      </c>
    </row>
    <row r="1714" spans="1:10" x14ac:dyDescent="0.35">
      <c r="A1714" t="s">
        <v>16</v>
      </c>
      <c r="B1714" t="s">
        <v>62</v>
      </c>
      <c r="J1714">
        <v>25.663461701514304</v>
      </c>
    </row>
    <row r="1715" spans="1:10" x14ac:dyDescent="0.35">
      <c r="A1715" t="s">
        <v>16</v>
      </c>
      <c r="B1715" t="s">
        <v>63</v>
      </c>
      <c r="J1715">
        <v>25.174633859580702</v>
      </c>
    </row>
    <row r="1716" spans="1:10" x14ac:dyDescent="0.35">
      <c r="A1716" t="s">
        <v>16</v>
      </c>
      <c r="B1716" t="s">
        <v>64</v>
      </c>
      <c r="J1716">
        <v>24.685806017647092</v>
      </c>
    </row>
    <row r="1717" spans="1:10" x14ac:dyDescent="0.35">
      <c r="A1717" t="s">
        <v>16</v>
      </c>
      <c r="B1717" t="s">
        <v>65</v>
      </c>
      <c r="J1717">
        <v>23.95256425474669</v>
      </c>
    </row>
    <row r="1718" spans="1:10" x14ac:dyDescent="0.35">
      <c r="A1718" t="s">
        <v>16</v>
      </c>
      <c r="B1718" t="s">
        <v>66</v>
      </c>
      <c r="J1718">
        <v>22.974908570879471</v>
      </c>
    </row>
    <row r="1719" spans="1:10" x14ac:dyDescent="0.35">
      <c r="A1719" t="s">
        <v>16</v>
      </c>
      <c r="B1719" t="s">
        <v>47</v>
      </c>
      <c r="J1719">
        <v>158.81186627205508</v>
      </c>
    </row>
    <row r="1720" spans="1:10" x14ac:dyDescent="0.35">
      <c r="A1720" t="s">
        <v>17</v>
      </c>
      <c r="B1720" t="s">
        <v>72</v>
      </c>
      <c r="J1720">
        <v>20.195555555555554</v>
      </c>
    </row>
    <row r="1721" spans="1:10" x14ac:dyDescent="0.35">
      <c r="A1721" t="s">
        <v>17</v>
      </c>
      <c r="B1721" t="s">
        <v>61</v>
      </c>
      <c r="J1721">
        <v>55.032888888888891</v>
      </c>
    </row>
    <row r="1722" spans="1:10" x14ac:dyDescent="0.35">
      <c r="A1722" t="s">
        <v>17</v>
      </c>
      <c r="B1722" t="s">
        <v>62</v>
      </c>
      <c r="J1722">
        <v>53.013333333333343</v>
      </c>
    </row>
    <row r="1723" spans="1:10" x14ac:dyDescent="0.35">
      <c r="A1723" t="s">
        <v>17</v>
      </c>
      <c r="B1723" t="s">
        <v>63</v>
      </c>
      <c r="J1723">
        <v>52.003555555555558</v>
      </c>
    </row>
    <row r="1724" spans="1:10" x14ac:dyDescent="0.35">
      <c r="A1724" t="s">
        <v>17</v>
      </c>
      <c r="B1724" t="s">
        <v>64</v>
      </c>
      <c r="J1724">
        <v>50.993777777777787</v>
      </c>
    </row>
    <row r="1725" spans="1:10" x14ac:dyDescent="0.35">
      <c r="A1725" t="s">
        <v>17</v>
      </c>
      <c r="B1725" t="s">
        <v>65</v>
      </c>
      <c r="J1725">
        <v>49.479111111111109</v>
      </c>
    </row>
    <row r="1726" spans="1:10" x14ac:dyDescent="0.35">
      <c r="A1726" t="s">
        <v>17</v>
      </c>
      <c r="B1726" t="s">
        <v>66</v>
      </c>
      <c r="J1726">
        <v>47.459555555555561</v>
      </c>
    </row>
    <row r="1727" spans="1:10" x14ac:dyDescent="0.35">
      <c r="A1727" t="s">
        <v>17</v>
      </c>
      <c r="B1727" t="s">
        <v>47</v>
      </c>
      <c r="J1727">
        <v>329.72553128985896</v>
      </c>
    </row>
    <row r="1728" spans="1:10" x14ac:dyDescent="0.35">
      <c r="A1728" t="s">
        <v>18</v>
      </c>
      <c r="B1728" t="s">
        <v>72</v>
      </c>
      <c r="J1728">
        <v>18.849618849618849</v>
      </c>
    </row>
    <row r="1729" spans="1:10" x14ac:dyDescent="0.35">
      <c r="A1729" t="s">
        <v>18</v>
      </c>
      <c r="B1729" t="s">
        <v>61</v>
      </c>
      <c r="J1729">
        <v>51.365211365211366</v>
      </c>
    </row>
    <row r="1730" spans="1:10" x14ac:dyDescent="0.35">
      <c r="A1730" t="s">
        <v>18</v>
      </c>
      <c r="B1730" t="s">
        <v>62</v>
      </c>
      <c r="J1730">
        <v>49.480249480249483</v>
      </c>
    </row>
    <row r="1731" spans="1:10" x14ac:dyDescent="0.35">
      <c r="A1731" t="s">
        <v>18</v>
      </c>
      <c r="B1731" t="s">
        <v>63</v>
      </c>
      <c r="J1731">
        <v>48.537768537768542</v>
      </c>
    </row>
    <row r="1732" spans="1:10" x14ac:dyDescent="0.35">
      <c r="A1732" t="s">
        <v>18</v>
      </c>
      <c r="B1732" t="s">
        <v>64</v>
      </c>
      <c r="J1732">
        <v>47.595287595287601</v>
      </c>
    </row>
    <row r="1733" spans="1:10" x14ac:dyDescent="0.35">
      <c r="A1733" t="s">
        <v>18</v>
      </c>
      <c r="B1733" t="s">
        <v>65</v>
      </c>
      <c r="J1733">
        <v>46.181566181566183</v>
      </c>
    </row>
    <row r="1734" spans="1:10" x14ac:dyDescent="0.35">
      <c r="A1734" t="s">
        <v>18</v>
      </c>
      <c r="B1734" t="s">
        <v>66</v>
      </c>
      <c r="J1734">
        <v>44.296604296604301</v>
      </c>
    </row>
    <row r="1735" spans="1:10" x14ac:dyDescent="0.35">
      <c r="A1735" t="s">
        <v>18</v>
      </c>
      <c r="B1735" t="s">
        <v>47</v>
      </c>
      <c r="J1735">
        <v>306.84747830760114</v>
      </c>
    </row>
    <row r="1736" spans="1:10" x14ac:dyDescent="0.35">
      <c r="A1736" t="s">
        <v>19</v>
      </c>
      <c r="B1736" t="s">
        <v>72</v>
      </c>
      <c r="J1736">
        <v>8.0685829551185062</v>
      </c>
    </row>
    <row r="1737" spans="1:10" x14ac:dyDescent="0.35">
      <c r="A1737" t="s">
        <v>19</v>
      </c>
      <c r="B1737" t="s">
        <v>61</v>
      </c>
      <c r="J1737">
        <v>21.986888552697931</v>
      </c>
    </row>
    <row r="1738" spans="1:10" x14ac:dyDescent="0.35">
      <c r="A1738" t="s">
        <v>19</v>
      </c>
      <c r="B1738" t="s">
        <v>62</v>
      </c>
      <c r="J1738">
        <v>21.180030257186079</v>
      </c>
    </row>
    <row r="1739" spans="1:10" x14ac:dyDescent="0.35">
      <c r="A1739" t="s">
        <v>19</v>
      </c>
      <c r="B1739" t="s">
        <v>63</v>
      </c>
      <c r="J1739">
        <v>20.776601109430157</v>
      </c>
    </row>
    <row r="1740" spans="1:10" x14ac:dyDescent="0.35">
      <c r="A1740" t="s">
        <v>19</v>
      </c>
      <c r="B1740" t="s">
        <v>64</v>
      </c>
      <c r="J1740">
        <v>20.373171961674231</v>
      </c>
    </row>
    <row r="1741" spans="1:10" x14ac:dyDescent="0.35">
      <c r="A1741" t="s">
        <v>19</v>
      </c>
      <c r="B1741" t="s">
        <v>65</v>
      </c>
      <c r="J1741">
        <v>19.768028240040344</v>
      </c>
    </row>
    <row r="1742" spans="1:10" x14ac:dyDescent="0.35">
      <c r="A1742" t="s">
        <v>19</v>
      </c>
      <c r="B1742" t="s">
        <v>66</v>
      </c>
      <c r="J1742">
        <v>18.961169944528493</v>
      </c>
    </row>
    <row r="1743" spans="1:10" x14ac:dyDescent="0.35">
      <c r="A1743" t="s">
        <v>19</v>
      </c>
      <c r="B1743" t="s">
        <v>47</v>
      </c>
      <c r="J1743">
        <v>133.34848124779532</v>
      </c>
    </row>
    <row r="1744" spans="1:10" x14ac:dyDescent="0.35">
      <c r="A1744" t="s">
        <v>20</v>
      </c>
      <c r="B1744" t="s">
        <v>72</v>
      </c>
      <c r="J1744">
        <v>6.631142687981054</v>
      </c>
    </row>
    <row r="1745" spans="1:10" x14ac:dyDescent="0.35">
      <c r="A1745" t="s">
        <v>20</v>
      </c>
      <c r="B1745" t="s">
        <v>61</v>
      </c>
      <c r="J1745">
        <v>18.069863824748374</v>
      </c>
    </row>
    <row r="1746" spans="1:10" x14ac:dyDescent="0.35">
      <c r="A1746" t="s">
        <v>20</v>
      </c>
      <c r="B1746" t="s">
        <v>62</v>
      </c>
      <c r="J1746">
        <v>17.406749555950267</v>
      </c>
    </row>
    <row r="1747" spans="1:10" x14ac:dyDescent="0.35">
      <c r="A1747" t="s">
        <v>20</v>
      </c>
      <c r="B1747" t="s">
        <v>63</v>
      </c>
      <c r="J1747">
        <v>17.075192421551215</v>
      </c>
    </row>
    <row r="1748" spans="1:10" x14ac:dyDescent="0.35">
      <c r="A1748" t="s">
        <v>20</v>
      </c>
      <c r="B1748" t="s">
        <v>64</v>
      </c>
      <c r="J1748">
        <v>16.743635287152163</v>
      </c>
    </row>
    <row r="1749" spans="1:10" x14ac:dyDescent="0.35">
      <c r="A1749" t="s">
        <v>20</v>
      </c>
      <c r="B1749" t="s">
        <v>65</v>
      </c>
      <c r="J1749">
        <v>16.246299585553583</v>
      </c>
    </row>
    <row r="1750" spans="1:10" x14ac:dyDescent="0.35">
      <c r="A1750" t="s">
        <v>20</v>
      </c>
      <c r="B1750" t="s">
        <v>66</v>
      </c>
      <c r="J1750">
        <v>15.583185316755479</v>
      </c>
    </row>
    <row r="1751" spans="1:10" x14ac:dyDescent="0.35">
      <c r="A1751" t="s">
        <v>20</v>
      </c>
      <c r="B1751" t="s">
        <v>47</v>
      </c>
      <c r="J1751">
        <v>107.75606867969213</v>
      </c>
    </row>
    <row r="1752" spans="1:10" x14ac:dyDescent="0.35">
      <c r="A1752" t="s">
        <v>21</v>
      </c>
      <c r="B1752" t="s">
        <v>72</v>
      </c>
      <c r="J1752">
        <v>3.2993367887198346</v>
      </c>
    </row>
    <row r="1753" spans="1:10" x14ac:dyDescent="0.35">
      <c r="A1753" t="s">
        <v>21</v>
      </c>
      <c r="B1753" t="s">
        <v>61</v>
      </c>
      <c r="J1753">
        <v>8.9906927492615516</v>
      </c>
    </row>
    <row r="1754" spans="1:10" x14ac:dyDescent="0.35">
      <c r="A1754" t="s">
        <v>21</v>
      </c>
      <c r="B1754" t="s">
        <v>62</v>
      </c>
      <c r="J1754">
        <v>8.6607590703895667</v>
      </c>
    </row>
    <row r="1755" spans="1:10" x14ac:dyDescent="0.35">
      <c r="A1755" t="s">
        <v>21</v>
      </c>
      <c r="B1755" t="s">
        <v>63</v>
      </c>
      <c r="J1755">
        <v>8.4957922309535743</v>
      </c>
    </row>
    <row r="1756" spans="1:10" x14ac:dyDescent="0.35">
      <c r="A1756" t="s">
        <v>21</v>
      </c>
      <c r="B1756" t="s">
        <v>64</v>
      </c>
      <c r="J1756">
        <v>8.3308253915175818</v>
      </c>
    </row>
    <row r="1757" spans="1:10" x14ac:dyDescent="0.35">
      <c r="A1757" t="s">
        <v>21</v>
      </c>
      <c r="B1757" t="s">
        <v>65</v>
      </c>
      <c r="J1757">
        <v>8.0833751323635941</v>
      </c>
    </row>
    <row r="1758" spans="1:10" x14ac:dyDescent="0.35">
      <c r="A1758" t="s">
        <v>21</v>
      </c>
      <c r="B1758" t="s">
        <v>66</v>
      </c>
      <c r="J1758">
        <v>7.7534414534916118</v>
      </c>
    </row>
    <row r="1759" spans="1:10" x14ac:dyDescent="0.35">
      <c r="A1759" t="s">
        <v>21</v>
      </c>
      <c r="B1759" t="s">
        <v>47</v>
      </c>
      <c r="J1759">
        <v>53.541193406755788</v>
      </c>
    </row>
    <row r="1760" spans="1:10" x14ac:dyDescent="0.35">
      <c r="A1760" t="s">
        <v>22</v>
      </c>
      <c r="B1760" t="s">
        <v>72</v>
      </c>
      <c r="J1760">
        <v>25.631923395501669</v>
      </c>
    </row>
    <row r="1761" spans="1:10" x14ac:dyDescent="0.35">
      <c r="A1761" t="s">
        <v>22</v>
      </c>
      <c r="B1761" t="s">
        <v>61</v>
      </c>
      <c r="J1761">
        <v>69.846991252742043</v>
      </c>
    </row>
    <row r="1762" spans="1:10" x14ac:dyDescent="0.35">
      <c r="A1762" t="s">
        <v>22</v>
      </c>
      <c r="B1762" t="s">
        <v>62</v>
      </c>
      <c r="J1762">
        <v>67.283798913191887</v>
      </c>
    </row>
    <row r="1763" spans="1:10" x14ac:dyDescent="0.35">
      <c r="A1763" t="s">
        <v>22</v>
      </c>
      <c r="B1763" t="s">
        <v>63</v>
      </c>
      <c r="J1763">
        <v>66.002202743416802</v>
      </c>
    </row>
    <row r="1764" spans="1:10" x14ac:dyDescent="0.35">
      <c r="A1764" t="s">
        <v>22</v>
      </c>
      <c r="B1764" t="s">
        <v>64</v>
      </c>
      <c r="J1764">
        <v>64.720606573641703</v>
      </c>
    </row>
    <row r="1765" spans="1:10" x14ac:dyDescent="0.35">
      <c r="A1765" t="s">
        <v>22</v>
      </c>
      <c r="B1765" t="s">
        <v>65</v>
      </c>
      <c r="J1765">
        <v>62.798212318979083</v>
      </c>
    </row>
    <row r="1766" spans="1:10" x14ac:dyDescent="0.35">
      <c r="A1766" t="s">
        <v>22</v>
      </c>
      <c r="B1766" t="s">
        <v>66</v>
      </c>
      <c r="J1766">
        <v>60.235019979428913</v>
      </c>
    </row>
    <row r="1767" spans="1:10" x14ac:dyDescent="0.35">
      <c r="A1767" t="s">
        <v>22</v>
      </c>
      <c r="B1767" t="s">
        <v>47</v>
      </c>
      <c r="J1767">
        <v>416.48330905382255</v>
      </c>
    </row>
    <row r="1768" spans="1:10" x14ac:dyDescent="0.35">
      <c r="A1768" t="s">
        <v>23</v>
      </c>
      <c r="B1768" t="s">
        <v>72</v>
      </c>
      <c r="J1768">
        <v>9.4235588972431064</v>
      </c>
    </row>
    <row r="1769" spans="1:10" x14ac:dyDescent="0.35">
      <c r="A1769" t="s">
        <v>23</v>
      </c>
      <c r="B1769" t="s">
        <v>61</v>
      </c>
      <c r="J1769">
        <v>25.679197994987469</v>
      </c>
    </row>
    <row r="1770" spans="1:10" x14ac:dyDescent="0.35">
      <c r="A1770" t="s">
        <v>23</v>
      </c>
      <c r="B1770" t="s">
        <v>62</v>
      </c>
      <c r="J1770">
        <v>24.736842105263154</v>
      </c>
    </row>
    <row r="1771" spans="1:10" x14ac:dyDescent="0.35">
      <c r="A1771" t="s">
        <v>23</v>
      </c>
      <c r="B1771" t="s">
        <v>63</v>
      </c>
      <c r="J1771">
        <v>24.265664160401002</v>
      </c>
    </row>
    <row r="1772" spans="1:10" x14ac:dyDescent="0.35">
      <c r="A1772" t="s">
        <v>23</v>
      </c>
      <c r="B1772" t="s">
        <v>64</v>
      </c>
      <c r="J1772">
        <v>23.794486215538843</v>
      </c>
    </row>
    <row r="1773" spans="1:10" x14ac:dyDescent="0.35">
      <c r="A1773" t="s">
        <v>23</v>
      </c>
      <c r="B1773" t="s">
        <v>65</v>
      </c>
      <c r="J1773">
        <v>23.087719298245613</v>
      </c>
    </row>
    <row r="1774" spans="1:10" x14ac:dyDescent="0.35">
      <c r="A1774" t="s">
        <v>23</v>
      </c>
      <c r="B1774" t="s">
        <v>66</v>
      </c>
      <c r="J1774">
        <v>22.145363408521302</v>
      </c>
    </row>
    <row r="1775" spans="1:10" x14ac:dyDescent="0.35">
      <c r="A1775" t="s">
        <v>23</v>
      </c>
      <c r="B1775" t="s">
        <v>47</v>
      </c>
      <c r="J1775">
        <v>153.27744578172559</v>
      </c>
    </row>
    <row r="1776" spans="1:10" x14ac:dyDescent="0.35">
      <c r="A1776" t="s">
        <v>24</v>
      </c>
      <c r="B1776" t="s">
        <v>72</v>
      </c>
      <c r="J1776">
        <v>25.872316621215298</v>
      </c>
    </row>
    <row r="1777" spans="1:10" x14ac:dyDescent="0.35">
      <c r="A1777" t="s">
        <v>24</v>
      </c>
      <c r="B1777" t="s">
        <v>61</v>
      </c>
      <c r="J1777">
        <v>70.502062792811685</v>
      </c>
    </row>
    <row r="1778" spans="1:10" x14ac:dyDescent="0.35">
      <c r="A1778" t="s">
        <v>24</v>
      </c>
      <c r="B1778" t="s">
        <v>62</v>
      </c>
      <c r="J1778">
        <v>67.91483113069016</v>
      </c>
    </row>
    <row r="1779" spans="1:10" x14ac:dyDescent="0.35">
      <c r="A1779" t="s">
        <v>24</v>
      </c>
      <c r="B1779" t="s">
        <v>63</v>
      </c>
      <c r="J1779">
        <v>66.621215299629384</v>
      </c>
    </row>
    <row r="1780" spans="1:10" x14ac:dyDescent="0.35">
      <c r="A1780" t="s">
        <v>24</v>
      </c>
      <c r="B1780" t="s">
        <v>64</v>
      </c>
      <c r="J1780">
        <v>65.327599468568636</v>
      </c>
    </row>
    <row r="1781" spans="1:10" x14ac:dyDescent="0.35">
      <c r="A1781" t="s">
        <v>24</v>
      </c>
      <c r="B1781" t="s">
        <v>65</v>
      </c>
      <c r="J1781">
        <v>63.387175721977485</v>
      </c>
    </row>
    <row r="1782" spans="1:10" x14ac:dyDescent="0.35">
      <c r="A1782" t="s">
        <v>24</v>
      </c>
      <c r="B1782" t="s">
        <v>66</v>
      </c>
      <c r="J1782">
        <v>60.799944059855946</v>
      </c>
    </row>
    <row r="1783" spans="1:10" x14ac:dyDescent="0.35">
      <c r="A1783" t="s">
        <v>24</v>
      </c>
      <c r="B1783" t="s">
        <v>47</v>
      </c>
      <c r="J1783">
        <v>420.43754208082856</v>
      </c>
    </row>
    <row r="1784" spans="1:10" x14ac:dyDescent="0.35">
      <c r="A1784" t="s">
        <v>25</v>
      </c>
      <c r="B1784" t="s">
        <v>72</v>
      </c>
      <c r="J1784">
        <v>23.102918586789553</v>
      </c>
    </row>
    <row r="1785" spans="1:10" x14ac:dyDescent="0.35">
      <c r="A1785" t="s">
        <v>25</v>
      </c>
      <c r="B1785" t="s">
        <v>61</v>
      </c>
      <c r="J1785">
        <v>62.955453149001535</v>
      </c>
    </row>
    <row r="1786" spans="1:10" x14ac:dyDescent="0.35">
      <c r="A1786" t="s">
        <v>25</v>
      </c>
      <c r="B1786" t="s">
        <v>62</v>
      </c>
      <c r="J1786">
        <v>60.645161290322584</v>
      </c>
    </row>
    <row r="1787" spans="1:10" x14ac:dyDescent="0.35">
      <c r="A1787" t="s">
        <v>25</v>
      </c>
      <c r="B1787" t="s">
        <v>63</v>
      </c>
      <c r="J1787">
        <v>59.490015360983108</v>
      </c>
    </row>
    <row r="1788" spans="1:10" x14ac:dyDescent="0.35">
      <c r="A1788" t="s">
        <v>25</v>
      </c>
      <c r="B1788" t="s">
        <v>64</v>
      </c>
      <c r="J1788">
        <v>58.334869431643625</v>
      </c>
    </row>
    <row r="1789" spans="1:10" x14ac:dyDescent="0.35">
      <c r="A1789" t="s">
        <v>25</v>
      </c>
      <c r="B1789" t="s">
        <v>65</v>
      </c>
      <c r="J1789">
        <v>56.602150537634408</v>
      </c>
    </row>
    <row r="1790" spans="1:10" x14ac:dyDescent="0.35">
      <c r="A1790" t="s">
        <v>25</v>
      </c>
      <c r="B1790" t="s">
        <v>66</v>
      </c>
      <c r="J1790">
        <v>54.291858678955457</v>
      </c>
    </row>
    <row r="1791" spans="1:10" x14ac:dyDescent="0.35">
      <c r="A1791" t="s">
        <v>25</v>
      </c>
      <c r="B1791" t="s">
        <v>47</v>
      </c>
      <c r="J1791">
        <v>376.17279861656198</v>
      </c>
    </row>
    <row r="1792" spans="1:10" x14ac:dyDescent="0.35">
      <c r="A1792" t="s">
        <v>26</v>
      </c>
      <c r="B1792" t="s">
        <v>72</v>
      </c>
      <c r="J1792">
        <v>13.810420590081605</v>
      </c>
    </row>
    <row r="1793" spans="1:10" x14ac:dyDescent="0.35">
      <c r="A1793" t="s">
        <v>26</v>
      </c>
      <c r="B1793" t="s">
        <v>61</v>
      </c>
      <c r="J1793">
        <v>37.633396107972374</v>
      </c>
    </row>
    <row r="1794" spans="1:10" x14ac:dyDescent="0.35">
      <c r="A1794" t="s">
        <v>26</v>
      </c>
      <c r="B1794" t="s">
        <v>62</v>
      </c>
      <c r="J1794">
        <v>36.252354048964214</v>
      </c>
    </row>
    <row r="1795" spans="1:10" x14ac:dyDescent="0.35">
      <c r="A1795" t="s">
        <v>26</v>
      </c>
      <c r="B1795" t="s">
        <v>63</v>
      </c>
      <c r="J1795">
        <v>35.561833019460138</v>
      </c>
    </row>
    <row r="1796" spans="1:10" x14ac:dyDescent="0.35">
      <c r="A1796" t="s">
        <v>26</v>
      </c>
      <c r="B1796" t="s">
        <v>64</v>
      </c>
      <c r="J1796">
        <v>34.871311989956055</v>
      </c>
    </row>
    <row r="1797" spans="1:10" x14ac:dyDescent="0.35">
      <c r="A1797" t="s">
        <v>26</v>
      </c>
      <c r="B1797" t="s">
        <v>65</v>
      </c>
      <c r="J1797">
        <v>33.835530445699931</v>
      </c>
    </row>
    <row r="1798" spans="1:10" x14ac:dyDescent="0.35">
      <c r="A1798" t="s">
        <v>26</v>
      </c>
      <c r="B1798" t="s">
        <v>66</v>
      </c>
      <c r="J1798">
        <v>32.454488386691771</v>
      </c>
    </row>
    <row r="1799" spans="1:10" x14ac:dyDescent="0.35">
      <c r="A1799" t="s">
        <v>26</v>
      </c>
      <c r="B1799" t="s">
        <v>47</v>
      </c>
      <c r="J1799">
        <v>224.57406624826297</v>
      </c>
    </row>
    <row r="1800" spans="1:10" x14ac:dyDescent="0.35">
      <c r="A1800" t="s">
        <v>27</v>
      </c>
      <c r="B1800" t="s">
        <v>72</v>
      </c>
      <c r="J1800">
        <v>11.539832716303307</v>
      </c>
    </row>
    <row r="1801" spans="1:10" x14ac:dyDescent="0.35">
      <c r="A1801" t="s">
        <v>27</v>
      </c>
      <c r="B1801" t="s">
        <v>61</v>
      </c>
      <c r="J1801">
        <v>31.446044151926507</v>
      </c>
    </row>
    <row r="1802" spans="1:10" x14ac:dyDescent="0.35">
      <c r="A1802" t="s">
        <v>27</v>
      </c>
      <c r="B1802" t="s">
        <v>62</v>
      </c>
      <c r="J1802">
        <v>30.292060880296177</v>
      </c>
    </row>
    <row r="1803" spans="1:10" x14ac:dyDescent="0.35">
      <c r="A1803" t="s">
        <v>27</v>
      </c>
      <c r="B1803" t="s">
        <v>63</v>
      </c>
      <c r="J1803">
        <v>29.715069244481011</v>
      </c>
    </row>
    <row r="1804" spans="1:10" x14ac:dyDescent="0.35">
      <c r="A1804" t="s">
        <v>27</v>
      </c>
      <c r="B1804" t="s">
        <v>64</v>
      </c>
      <c r="J1804">
        <v>29.138077608665846</v>
      </c>
    </row>
    <row r="1805" spans="1:10" x14ac:dyDescent="0.35">
      <c r="A1805" t="s">
        <v>27</v>
      </c>
      <c r="B1805" t="s">
        <v>65</v>
      </c>
      <c r="J1805">
        <v>28.272590154943099</v>
      </c>
    </row>
    <row r="1806" spans="1:10" x14ac:dyDescent="0.35">
      <c r="A1806" t="s">
        <v>27</v>
      </c>
      <c r="B1806" t="s">
        <v>66</v>
      </c>
      <c r="J1806">
        <v>27.118606883312768</v>
      </c>
    </row>
    <row r="1807" spans="1:10" x14ac:dyDescent="0.35">
      <c r="A1807" t="s">
        <v>27</v>
      </c>
      <c r="B1807" t="s">
        <v>47</v>
      </c>
      <c r="J1807">
        <v>187.5163754454677</v>
      </c>
    </row>
    <row r="1808" spans="1:10" x14ac:dyDescent="0.35">
      <c r="A1808" t="s">
        <v>28</v>
      </c>
      <c r="B1808" t="s">
        <v>72</v>
      </c>
      <c r="J1808">
        <v>3.1336871367197374</v>
      </c>
    </row>
    <row r="1809" spans="1:11" x14ac:dyDescent="0.35">
      <c r="A1809" t="s">
        <v>28</v>
      </c>
      <c r="B1809" t="s">
        <v>61</v>
      </c>
      <c r="J1809">
        <v>8.5392974475612835</v>
      </c>
    </row>
    <row r="1810" spans="1:11" x14ac:dyDescent="0.35">
      <c r="A1810" t="s">
        <v>28</v>
      </c>
      <c r="B1810" t="s">
        <v>62</v>
      </c>
      <c r="J1810">
        <v>8.2259287338893099</v>
      </c>
    </row>
    <row r="1811" spans="1:11" x14ac:dyDescent="0.35">
      <c r="A1811" t="s">
        <v>28</v>
      </c>
      <c r="B1811" t="s">
        <v>63</v>
      </c>
      <c r="J1811">
        <v>8.0692443770533231</v>
      </c>
    </row>
    <row r="1812" spans="1:11" x14ac:dyDescent="0.35">
      <c r="A1812" t="s">
        <v>28</v>
      </c>
      <c r="B1812" t="s">
        <v>64</v>
      </c>
      <c r="J1812">
        <v>7.9125600202173363</v>
      </c>
    </row>
    <row r="1813" spans="1:11" x14ac:dyDescent="0.35">
      <c r="A1813" t="s">
        <v>28</v>
      </c>
      <c r="B1813" t="s">
        <v>65</v>
      </c>
      <c r="J1813">
        <v>7.677533484963357</v>
      </c>
    </row>
    <row r="1814" spans="1:11" x14ac:dyDescent="0.35">
      <c r="A1814" t="s">
        <v>28</v>
      </c>
      <c r="B1814" t="s">
        <v>66</v>
      </c>
      <c r="J1814">
        <v>7.3641647712913825</v>
      </c>
    </row>
    <row r="1815" spans="1:11" x14ac:dyDescent="0.35">
      <c r="A1815" t="s">
        <v>28</v>
      </c>
      <c r="B1815" t="s">
        <v>47</v>
      </c>
      <c r="J1815">
        <v>50.595935183268317</v>
      </c>
    </row>
    <row r="1816" spans="1:11" x14ac:dyDescent="0.35">
      <c r="A1816" t="s">
        <v>29</v>
      </c>
      <c r="B1816" t="s">
        <v>72</v>
      </c>
      <c r="J1816">
        <v>11.910702375626624</v>
      </c>
    </row>
    <row r="1817" spans="1:11" x14ac:dyDescent="0.35">
      <c r="A1817" t="s">
        <v>29</v>
      </c>
      <c r="B1817" t="s">
        <v>61</v>
      </c>
      <c r="J1817">
        <v>32.45666397358255</v>
      </c>
    </row>
    <row r="1818" spans="1:11" x14ac:dyDescent="0.35">
      <c r="A1818" t="s">
        <v>29</v>
      </c>
      <c r="B1818" t="s">
        <v>62</v>
      </c>
      <c r="J1818">
        <v>31.265593736019888</v>
      </c>
    </row>
    <row r="1819" spans="1:11" x14ac:dyDescent="0.35">
      <c r="A1819" t="s">
        <v>29</v>
      </c>
      <c r="B1819" t="s">
        <v>63</v>
      </c>
      <c r="J1819">
        <v>30.67005861723856</v>
      </c>
    </row>
    <row r="1820" spans="1:11" x14ac:dyDescent="0.35">
      <c r="A1820" t="s">
        <v>29</v>
      </c>
      <c r="B1820" t="s">
        <v>64</v>
      </c>
      <c r="J1820">
        <v>30.074523498457236</v>
      </c>
    </row>
    <row r="1821" spans="1:11" x14ac:dyDescent="0.35">
      <c r="A1821" t="s">
        <v>29</v>
      </c>
      <c r="B1821" t="s">
        <v>65</v>
      </c>
      <c r="J1821">
        <v>29.181220820285223</v>
      </c>
    </row>
    <row r="1822" spans="1:11" x14ac:dyDescent="0.35">
      <c r="A1822" t="s">
        <v>29</v>
      </c>
      <c r="B1822" t="s">
        <v>66</v>
      </c>
      <c r="J1822">
        <v>27.990150582722563</v>
      </c>
    </row>
    <row r="1823" spans="1:11" x14ac:dyDescent="0.35">
      <c r="A1823" t="s">
        <v>29</v>
      </c>
      <c r="B1823" t="s">
        <v>47</v>
      </c>
      <c r="J1823">
        <v>192.89307714165096</v>
      </c>
    </row>
    <row r="1824" spans="1:11" x14ac:dyDescent="0.35">
      <c r="A1824" t="s">
        <v>2</v>
      </c>
      <c r="B1824" t="s">
        <v>72</v>
      </c>
      <c r="K1824">
        <v>0</v>
      </c>
    </row>
    <row r="1825" spans="1:11" x14ac:dyDescent="0.35">
      <c r="A1825" t="s">
        <v>2</v>
      </c>
      <c r="B1825" t="s">
        <v>61</v>
      </c>
      <c r="K1825">
        <v>29.781483417561468</v>
      </c>
    </row>
    <row r="1826" spans="1:11" x14ac:dyDescent="0.35">
      <c r="A1826" t="s">
        <v>2</v>
      </c>
      <c r="B1826" t="s">
        <v>62</v>
      </c>
      <c r="K1826">
        <v>108.75440462098101</v>
      </c>
    </row>
    <row r="1827" spans="1:11" x14ac:dyDescent="0.35">
      <c r="A1827" t="s">
        <v>2</v>
      </c>
      <c r="B1827" t="s">
        <v>63</v>
      </c>
      <c r="K1827">
        <v>146.64323839502552</v>
      </c>
    </row>
    <row r="1828" spans="1:11" x14ac:dyDescent="0.35">
      <c r="A1828" t="s">
        <v>2</v>
      </c>
      <c r="B1828" t="s">
        <v>64</v>
      </c>
      <c r="K1828">
        <v>143.4192860867083</v>
      </c>
    </row>
    <row r="1829" spans="1:11" x14ac:dyDescent="0.35">
      <c r="A1829" t="s">
        <v>2</v>
      </c>
      <c r="B1829" t="s">
        <v>65</v>
      </c>
      <c r="K1829">
        <v>158.02333034251527</v>
      </c>
    </row>
    <row r="1830" spans="1:11" x14ac:dyDescent="0.35">
      <c r="A1830" t="s">
        <v>2</v>
      </c>
      <c r="B1830" t="s">
        <v>66</v>
      </c>
      <c r="K1830">
        <v>114.55089955956126</v>
      </c>
    </row>
    <row r="1831" spans="1:11" x14ac:dyDescent="0.35">
      <c r="A1831" t="s">
        <v>2</v>
      </c>
      <c r="B1831" t="s">
        <v>47</v>
      </c>
      <c r="K1831">
        <v>701.17264242235274</v>
      </c>
    </row>
    <row r="1832" spans="1:11" x14ac:dyDescent="0.35">
      <c r="A1832" t="s">
        <v>3</v>
      </c>
      <c r="B1832" t="s">
        <v>72</v>
      </c>
      <c r="K1832">
        <v>0</v>
      </c>
    </row>
    <row r="1833" spans="1:11" x14ac:dyDescent="0.35">
      <c r="A1833" t="s">
        <v>3</v>
      </c>
      <c r="B1833" t="s">
        <v>61</v>
      </c>
      <c r="K1833">
        <v>29.253406878219447</v>
      </c>
    </row>
    <row r="1834" spans="1:11" x14ac:dyDescent="0.35">
      <c r="A1834" t="s">
        <v>3</v>
      </c>
      <c r="B1834" t="s">
        <v>62</v>
      </c>
      <c r="K1834">
        <v>117.33410085439807</v>
      </c>
    </row>
    <row r="1835" spans="1:11" x14ac:dyDescent="0.35">
      <c r="A1835" t="s">
        <v>3</v>
      </c>
      <c r="B1835" t="s">
        <v>63</v>
      </c>
      <c r="K1835">
        <v>159.59547194675264</v>
      </c>
    </row>
    <row r="1836" spans="1:11" x14ac:dyDescent="0.35">
      <c r="A1836" t="s">
        <v>3</v>
      </c>
      <c r="B1836" t="s">
        <v>64</v>
      </c>
      <c r="K1836">
        <v>156.07728164184221</v>
      </c>
    </row>
    <row r="1837" spans="1:11" x14ac:dyDescent="0.35">
      <c r="A1837" t="s">
        <v>3</v>
      </c>
      <c r="B1837" t="s">
        <v>65</v>
      </c>
      <c r="K1837">
        <v>172.44662997949419</v>
      </c>
    </row>
    <row r="1838" spans="1:11" x14ac:dyDescent="0.35">
      <c r="A1838" t="s">
        <v>3</v>
      </c>
      <c r="B1838" t="s">
        <v>66</v>
      </c>
      <c r="K1838">
        <v>124.18301253293527</v>
      </c>
    </row>
    <row r="1839" spans="1:11" x14ac:dyDescent="0.35">
      <c r="A1839" t="s">
        <v>3</v>
      </c>
      <c r="B1839" t="s">
        <v>47</v>
      </c>
      <c r="K1839">
        <v>758.88990383364194</v>
      </c>
    </row>
    <row r="1840" spans="1:11" x14ac:dyDescent="0.35">
      <c r="A1840" t="s">
        <v>4</v>
      </c>
      <c r="B1840" t="s">
        <v>72</v>
      </c>
      <c r="K1840">
        <v>0</v>
      </c>
    </row>
    <row r="1841" spans="1:11" x14ac:dyDescent="0.35">
      <c r="A1841" t="s">
        <v>4</v>
      </c>
      <c r="B1841" t="s">
        <v>61</v>
      </c>
      <c r="K1841">
        <v>0</v>
      </c>
    </row>
    <row r="1842" spans="1:11" x14ac:dyDescent="0.35">
      <c r="A1842" t="s">
        <v>4</v>
      </c>
      <c r="B1842" t="s">
        <v>62</v>
      </c>
      <c r="K1842">
        <v>33.203442259871103</v>
      </c>
    </row>
    <row r="1843" spans="1:11" x14ac:dyDescent="0.35">
      <c r="A1843" t="s">
        <v>4</v>
      </c>
      <c r="B1843" t="s">
        <v>63</v>
      </c>
      <c r="K1843">
        <v>51.850419109943985</v>
      </c>
    </row>
    <row r="1844" spans="1:11" x14ac:dyDescent="0.35">
      <c r="A1844" t="s">
        <v>4</v>
      </c>
      <c r="B1844" t="s">
        <v>64</v>
      </c>
      <c r="K1844">
        <v>50.661962003730622</v>
      </c>
    </row>
    <row r="1845" spans="1:11" x14ac:dyDescent="0.35">
      <c r="A1845" t="s">
        <v>4</v>
      </c>
      <c r="B1845" t="s">
        <v>65</v>
      </c>
      <c r="K1845">
        <v>58.258360850944058</v>
      </c>
    </row>
    <row r="1846" spans="1:11" x14ac:dyDescent="0.35">
      <c r="A1846" t="s">
        <v>4</v>
      </c>
      <c r="B1846" t="s">
        <v>66</v>
      </c>
      <c r="K1846">
        <v>38.018450390498607</v>
      </c>
    </row>
    <row r="1847" spans="1:11" x14ac:dyDescent="0.35">
      <c r="A1847" t="s">
        <v>4</v>
      </c>
      <c r="B1847" t="s">
        <v>47</v>
      </c>
      <c r="K1847">
        <v>231.99263461498836</v>
      </c>
    </row>
    <row r="1848" spans="1:11" x14ac:dyDescent="0.35">
      <c r="A1848" t="s">
        <v>5</v>
      </c>
      <c r="B1848" t="s">
        <v>72</v>
      </c>
      <c r="K1848">
        <v>0</v>
      </c>
    </row>
    <row r="1849" spans="1:11" x14ac:dyDescent="0.35">
      <c r="A1849" t="s">
        <v>5</v>
      </c>
      <c r="B1849" t="s">
        <v>61</v>
      </c>
      <c r="K1849">
        <v>1.8073315343675842</v>
      </c>
    </row>
    <row r="1850" spans="1:11" x14ac:dyDescent="0.35">
      <c r="A1850" t="s">
        <v>5</v>
      </c>
      <c r="B1850" t="s">
        <v>62</v>
      </c>
      <c r="K1850">
        <v>49.951613696629174</v>
      </c>
    </row>
    <row r="1851" spans="1:11" x14ac:dyDescent="0.35">
      <c r="A1851" t="s">
        <v>5</v>
      </c>
      <c r="B1851" t="s">
        <v>63</v>
      </c>
      <c r="K1851">
        <v>73.061764277422853</v>
      </c>
    </row>
    <row r="1852" spans="1:11" x14ac:dyDescent="0.35">
      <c r="A1852" t="s">
        <v>5</v>
      </c>
      <c r="B1852" t="s">
        <v>64</v>
      </c>
      <c r="K1852">
        <v>71.416378102851951</v>
      </c>
    </row>
    <row r="1853" spans="1:11" x14ac:dyDescent="0.35">
      <c r="A1853" t="s">
        <v>5</v>
      </c>
      <c r="B1853" t="s">
        <v>65</v>
      </c>
      <c r="K1853">
        <v>80.653829042394406</v>
      </c>
    </row>
    <row r="1854" spans="1:11" x14ac:dyDescent="0.35">
      <c r="A1854" t="s">
        <v>5</v>
      </c>
      <c r="B1854" t="s">
        <v>66</v>
      </c>
      <c r="K1854">
        <v>55.069213203197627</v>
      </c>
    </row>
    <row r="1855" spans="1:11" x14ac:dyDescent="0.35">
      <c r="A1855" t="s">
        <v>5</v>
      </c>
      <c r="B1855" t="s">
        <v>47</v>
      </c>
      <c r="K1855">
        <v>331.9601298568636</v>
      </c>
    </row>
    <row r="1856" spans="1:11" x14ac:dyDescent="0.35">
      <c r="A1856" t="s">
        <v>6</v>
      </c>
      <c r="B1856" t="s">
        <v>72</v>
      </c>
      <c r="K1856">
        <v>0</v>
      </c>
    </row>
    <row r="1857" spans="1:11" x14ac:dyDescent="0.35">
      <c r="A1857" t="s">
        <v>6</v>
      </c>
      <c r="B1857" t="s">
        <v>61</v>
      </c>
      <c r="K1857">
        <v>15.159883658420203</v>
      </c>
    </row>
    <row r="1858" spans="1:11" x14ac:dyDescent="0.35">
      <c r="A1858" t="s">
        <v>6</v>
      </c>
      <c r="B1858" t="s">
        <v>62</v>
      </c>
      <c r="K1858">
        <v>69.120038169970869</v>
      </c>
    </row>
    <row r="1859" spans="1:11" x14ac:dyDescent="0.35">
      <c r="A1859" t="s">
        <v>6</v>
      </c>
      <c r="B1859" t="s">
        <v>63</v>
      </c>
      <c r="K1859">
        <v>95.012298025321186</v>
      </c>
    </row>
    <row r="1860" spans="1:11" x14ac:dyDescent="0.35">
      <c r="A1860" t="s">
        <v>6</v>
      </c>
      <c r="B1860" t="s">
        <v>64</v>
      </c>
      <c r="K1860">
        <v>92.911034420814218</v>
      </c>
    </row>
    <row r="1861" spans="1:11" x14ac:dyDescent="0.35">
      <c r="A1861" t="s">
        <v>6</v>
      </c>
      <c r="B1861" t="s">
        <v>65</v>
      </c>
      <c r="K1861">
        <v>102.99573483264035</v>
      </c>
    </row>
    <row r="1862" spans="1:11" x14ac:dyDescent="0.35">
      <c r="A1862" t="s">
        <v>6</v>
      </c>
      <c r="B1862" t="s">
        <v>66</v>
      </c>
      <c r="K1862">
        <v>73.583363178868026</v>
      </c>
    </row>
    <row r="1863" spans="1:11" x14ac:dyDescent="0.35">
      <c r="A1863" t="s">
        <v>6</v>
      </c>
      <c r="B1863" t="s">
        <v>47</v>
      </c>
      <c r="K1863">
        <v>448.78235228603478</v>
      </c>
    </row>
    <row r="1864" spans="1:11" x14ac:dyDescent="0.35">
      <c r="A1864" t="s">
        <v>7</v>
      </c>
      <c r="B1864" t="s">
        <v>72</v>
      </c>
      <c r="K1864">
        <v>0</v>
      </c>
    </row>
    <row r="1865" spans="1:11" x14ac:dyDescent="0.35">
      <c r="A1865" t="s">
        <v>7</v>
      </c>
      <c r="B1865" t="s">
        <v>61</v>
      </c>
      <c r="K1865">
        <v>18.541942471485847</v>
      </c>
    </row>
    <row r="1866" spans="1:11" x14ac:dyDescent="0.35">
      <c r="A1866" t="s">
        <v>7</v>
      </c>
      <c r="B1866" t="s">
        <v>62</v>
      </c>
      <c r="K1866">
        <v>81.652762466917551</v>
      </c>
    </row>
    <row r="1867" spans="1:11" x14ac:dyDescent="0.35">
      <c r="A1867" t="s">
        <v>7</v>
      </c>
      <c r="B1867" t="s">
        <v>63</v>
      </c>
      <c r="K1867">
        <v>111.93528690668491</v>
      </c>
    </row>
    <row r="1868" spans="1:11" x14ac:dyDescent="0.35">
      <c r="A1868" t="s">
        <v>7</v>
      </c>
      <c r="B1868" t="s">
        <v>64</v>
      </c>
      <c r="K1868">
        <v>109.46180678702648</v>
      </c>
    </row>
    <row r="1869" spans="1:11" x14ac:dyDescent="0.35">
      <c r="A1869" t="s">
        <v>7</v>
      </c>
      <c r="B1869" t="s">
        <v>65</v>
      </c>
      <c r="K1869">
        <v>121.24009749851864</v>
      </c>
    </row>
    <row r="1870" spans="1:11" x14ac:dyDescent="0.35">
      <c r="A1870" t="s">
        <v>7</v>
      </c>
      <c r="B1870" t="s">
        <v>66</v>
      </c>
      <c r="K1870">
        <v>86.79439335298791</v>
      </c>
    </row>
    <row r="1871" spans="1:11" x14ac:dyDescent="0.35">
      <c r="A1871" t="s">
        <v>7</v>
      </c>
      <c r="B1871" t="s">
        <v>47</v>
      </c>
      <c r="K1871">
        <v>529.62628948362135</v>
      </c>
    </row>
    <row r="1872" spans="1:11" x14ac:dyDescent="0.35">
      <c r="A1872" t="s">
        <v>8</v>
      </c>
      <c r="B1872" t="s">
        <v>72</v>
      </c>
      <c r="K1872">
        <v>0</v>
      </c>
    </row>
    <row r="1873" spans="1:11" x14ac:dyDescent="0.35">
      <c r="A1873" t="s">
        <v>8</v>
      </c>
      <c r="B1873" t="s">
        <v>61</v>
      </c>
      <c r="K1873">
        <v>19.797281451216758</v>
      </c>
    </row>
    <row r="1874" spans="1:11" x14ac:dyDescent="0.35">
      <c r="A1874" t="s">
        <v>8</v>
      </c>
      <c r="B1874" t="s">
        <v>62</v>
      </c>
      <c r="K1874">
        <v>73.977955385727284</v>
      </c>
    </row>
    <row r="1875" spans="1:11" x14ac:dyDescent="0.35">
      <c r="A1875" t="s">
        <v>8</v>
      </c>
      <c r="B1875" t="s">
        <v>63</v>
      </c>
      <c r="K1875">
        <v>99.972678973453824</v>
      </c>
    </row>
    <row r="1876" spans="1:11" x14ac:dyDescent="0.35">
      <c r="A1876" t="s">
        <v>8</v>
      </c>
      <c r="B1876" t="s">
        <v>64</v>
      </c>
      <c r="K1876">
        <v>97.773260023298732</v>
      </c>
    </row>
    <row r="1877" spans="1:11" x14ac:dyDescent="0.35">
      <c r="A1877" t="s">
        <v>8</v>
      </c>
      <c r="B1877" t="s">
        <v>65</v>
      </c>
      <c r="K1877">
        <v>107.80558913183168</v>
      </c>
    </row>
    <row r="1878" spans="1:11" x14ac:dyDescent="0.35">
      <c r="A1878" t="s">
        <v>8</v>
      </c>
      <c r="B1878" t="s">
        <v>66</v>
      </c>
      <c r="K1878">
        <v>78.016237291660204</v>
      </c>
    </row>
    <row r="1879" spans="1:11" x14ac:dyDescent="0.35">
      <c r="A1879" t="s">
        <v>8</v>
      </c>
      <c r="B1879" t="s">
        <v>47</v>
      </c>
      <c r="K1879">
        <v>477.34300225718846</v>
      </c>
    </row>
    <row r="1880" spans="1:11" x14ac:dyDescent="0.35">
      <c r="A1880" t="s">
        <v>9</v>
      </c>
      <c r="B1880" t="s">
        <v>72</v>
      </c>
      <c r="K1880">
        <v>0</v>
      </c>
    </row>
    <row r="1881" spans="1:11" x14ac:dyDescent="0.35">
      <c r="A1881" t="s">
        <v>9</v>
      </c>
      <c r="B1881" t="s">
        <v>61</v>
      </c>
      <c r="K1881">
        <v>13.700412905265388</v>
      </c>
    </row>
    <row r="1882" spans="1:11" x14ac:dyDescent="0.35">
      <c r="A1882" t="s">
        <v>9</v>
      </c>
      <c r="B1882" t="s">
        <v>62</v>
      </c>
      <c r="K1882">
        <v>64.544249289137625</v>
      </c>
    </row>
    <row r="1883" spans="1:11" x14ac:dyDescent="0.35">
      <c r="A1883" t="s">
        <v>9</v>
      </c>
      <c r="B1883" t="s">
        <v>63</v>
      </c>
      <c r="K1883">
        <v>88.941601541217381</v>
      </c>
    </row>
    <row r="1884" spans="1:11" x14ac:dyDescent="0.35">
      <c r="A1884" t="s">
        <v>9</v>
      </c>
      <c r="B1884" t="s">
        <v>64</v>
      </c>
      <c r="K1884">
        <v>86.973121933708953</v>
      </c>
    </row>
    <row r="1885" spans="1:11" x14ac:dyDescent="0.35">
      <c r="A1885" t="s">
        <v>9</v>
      </c>
      <c r="B1885" t="s">
        <v>65</v>
      </c>
      <c r="K1885">
        <v>96.487352609906324</v>
      </c>
    </row>
    <row r="1886" spans="1:11" x14ac:dyDescent="0.35">
      <c r="A1886" t="s">
        <v>9</v>
      </c>
      <c r="B1886" t="s">
        <v>66</v>
      </c>
      <c r="K1886">
        <v>68.806382720776867</v>
      </c>
    </row>
    <row r="1887" spans="1:11" x14ac:dyDescent="0.35">
      <c r="A1887" t="s">
        <v>9</v>
      </c>
      <c r="B1887" t="s">
        <v>47</v>
      </c>
      <c r="K1887">
        <v>419.45312100001257</v>
      </c>
    </row>
    <row r="1888" spans="1:11" x14ac:dyDescent="0.35">
      <c r="A1888" t="s">
        <v>10</v>
      </c>
      <c r="B1888" t="s">
        <v>72</v>
      </c>
      <c r="K1888">
        <v>0</v>
      </c>
    </row>
    <row r="1889" spans="1:11" x14ac:dyDescent="0.35">
      <c r="A1889" t="s">
        <v>10</v>
      </c>
      <c r="B1889" t="s">
        <v>61</v>
      </c>
      <c r="K1889">
        <v>18.160825918879578</v>
      </c>
    </row>
    <row r="1890" spans="1:11" x14ac:dyDescent="0.35">
      <c r="A1890" t="s">
        <v>10</v>
      </c>
      <c r="B1890" t="s">
        <v>62</v>
      </c>
      <c r="K1890">
        <v>75.012310359517997</v>
      </c>
    </row>
    <row r="1891" spans="1:11" x14ac:dyDescent="0.35">
      <c r="A1891" t="s">
        <v>10</v>
      </c>
      <c r="B1891" t="s">
        <v>63</v>
      </c>
      <c r="K1891">
        <v>102.29034436648729</v>
      </c>
    </row>
    <row r="1892" spans="1:11" x14ac:dyDescent="0.35">
      <c r="A1892" t="s">
        <v>10</v>
      </c>
      <c r="B1892" t="s">
        <v>64</v>
      </c>
      <c r="K1892">
        <v>100.0336450782107</v>
      </c>
    </row>
    <row r="1893" spans="1:11" x14ac:dyDescent="0.35">
      <c r="A1893" t="s">
        <v>10</v>
      </c>
      <c r="B1893" t="s">
        <v>65</v>
      </c>
      <c r="K1893">
        <v>110.61394523089858</v>
      </c>
    </row>
    <row r="1894" spans="1:11" x14ac:dyDescent="0.35">
      <c r="A1894" t="s">
        <v>10</v>
      </c>
      <c r="B1894" t="s">
        <v>66</v>
      </c>
      <c r="K1894">
        <v>79.502750447723329</v>
      </c>
    </row>
    <row r="1895" spans="1:11" x14ac:dyDescent="0.35">
      <c r="A1895" t="s">
        <v>10</v>
      </c>
      <c r="B1895" t="s">
        <v>47</v>
      </c>
      <c r="K1895">
        <v>485.61382140171747</v>
      </c>
    </row>
    <row r="1896" spans="1:11" x14ac:dyDescent="0.35">
      <c r="A1896" t="s">
        <v>11</v>
      </c>
      <c r="B1896" t="s">
        <v>72</v>
      </c>
      <c r="K1896">
        <v>0</v>
      </c>
    </row>
    <row r="1897" spans="1:11" x14ac:dyDescent="0.35">
      <c r="A1897" t="s">
        <v>11</v>
      </c>
      <c r="B1897" t="s">
        <v>61</v>
      </c>
      <c r="K1897">
        <v>20.090149633783458</v>
      </c>
    </row>
    <row r="1898" spans="1:11" x14ac:dyDescent="0.35">
      <c r="A1898" t="s">
        <v>11</v>
      </c>
      <c r="B1898" t="s">
        <v>62</v>
      </c>
      <c r="K1898">
        <v>81.911482589749525</v>
      </c>
    </row>
    <row r="1899" spans="1:11" x14ac:dyDescent="0.35">
      <c r="A1899" t="s">
        <v>11</v>
      </c>
      <c r="B1899" t="s">
        <v>63</v>
      </c>
      <c r="K1899">
        <v>111.57386014816211</v>
      </c>
    </row>
    <row r="1900" spans="1:11" x14ac:dyDescent="0.35">
      <c r="A1900" t="s">
        <v>11</v>
      </c>
      <c r="B1900" t="s">
        <v>64</v>
      </c>
      <c r="K1900">
        <v>109.11319468389236</v>
      </c>
    </row>
    <row r="1901" spans="1:11" x14ac:dyDescent="0.35">
      <c r="A1901" t="s">
        <v>11</v>
      </c>
      <c r="B1901" t="s">
        <v>65</v>
      </c>
      <c r="K1901">
        <v>120.61141472091413</v>
      </c>
    </row>
    <row r="1902" spans="1:11" x14ac:dyDescent="0.35">
      <c r="A1902" t="s">
        <v>11</v>
      </c>
      <c r="B1902" t="s">
        <v>66</v>
      </c>
      <c r="K1902">
        <v>86.761359658902037</v>
      </c>
    </row>
    <row r="1903" spans="1:11" x14ac:dyDescent="0.35">
      <c r="A1903" t="s">
        <v>11</v>
      </c>
      <c r="B1903" t="s">
        <v>47</v>
      </c>
      <c r="K1903">
        <v>530.06146143540354</v>
      </c>
    </row>
    <row r="1904" spans="1:11" x14ac:dyDescent="0.35">
      <c r="A1904" t="s">
        <v>12</v>
      </c>
      <c r="B1904" t="s">
        <v>72</v>
      </c>
      <c r="K1904">
        <v>0</v>
      </c>
    </row>
    <row r="1905" spans="1:11" x14ac:dyDescent="0.35">
      <c r="A1905" t="s">
        <v>12</v>
      </c>
      <c r="B1905" t="s">
        <v>61</v>
      </c>
      <c r="K1905">
        <v>28.902315952316517</v>
      </c>
    </row>
    <row r="1906" spans="1:11" x14ac:dyDescent="0.35">
      <c r="A1906" t="s">
        <v>12</v>
      </c>
      <c r="B1906" t="s">
        <v>62</v>
      </c>
      <c r="K1906">
        <v>105.86717574662066</v>
      </c>
    </row>
    <row r="1907" spans="1:11" x14ac:dyDescent="0.35">
      <c r="A1907" t="s">
        <v>12</v>
      </c>
      <c r="B1907" t="s">
        <v>63</v>
      </c>
      <c r="K1907">
        <v>142.79269128327769</v>
      </c>
    </row>
    <row r="1908" spans="1:11" x14ac:dyDescent="0.35">
      <c r="A1908" t="s">
        <v>12</v>
      </c>
      <c r="B1908" t="s">
        <v>64</v>
      </c>
      <c r="K1908">
        <v>139.65310153803958</v>
      </c>
    </row>
    <row r="1909" spans="1:11" x14ac:dyDescent="0.35">
      <c r="A1909" t="s">
        <v>12</v>
      </c>
      <c r="B1909" t="s">
        <v>65</v>
      </c>
      <c r="K1909">
        <v>153.88829907705355</v>
      </c>
    </row>
    <row r="1910" spans="1:11" x14ac:dyDescent="0.35">
      <c r="A1910" t="s">
        <v>12</v>
      </c>
      <c r="B1910" t="s">
        <v>66</v>
      </c>
      <c r="K1910">
        <v>111.52809272806716</v>
      </c>
    </row>
    <row r="1911" spans="1:11" x14ac:dyDescent="0.35">
      <c r="A1911" t="s">
        <v>12</v>
      </c>
      <c r="B1911" t="s">
        <v>47</v>
      </c>
      <c r="K1911">
        <v>682.63167632537511</v>
      </c>
    </row>
    <row r="1912" spans="1:11" x14ac:dyDescent="0.35">
      <c r="A1912" t="s">
        <v>13</v>
      </c>
      <c r="B1912" t="s">
        <v>72</v>
      </c>
      <c r="K1912">
        <v>0</v>
      </c>
    </row>
    <row r="1913" spans="1:11" x14ac:dyDescent="0.35">
      <c r="A1913" t="s">
        <v>13</v>
      </c>
      <c r="B1913" t="s">
        <v>61</v>
      </c>
      <c r="K1913">
        <v>0</v>
      </c>
    </row>
    <row r="1914" spans="1:11" x14ac:dyDescent="0.35">
      <c r="A1914" t="s">
        <v>13</v>
      </c>
      <c r="B1914" t="s">
        <v>62</v>
      </c>
      <c r="K1914">
        <v>41.275630329803221</v>
      </c>
    </row>
    <row r="1915" spans="1:11" x14ac:dyDescent="0.35">
      <c r="A1915" t="s">
        <v>13</v>
      </c>
      <c r="B1915" t="s">
        <v>63</v>
      </c>
      <c r="K1915">
        <v>61.813847417924961</v>
      </c>
    </row>
    <row r="1916" spans="1:11" x14ac:dyDescent="0.35">
      <c r="A1916" t="s">
        <v>13</v>
      </c>
      <c r="B1916" t="s">
        <v>64</v>
      </c>
      <c r="K1916">
        <v>60.412657504797295</v>
      </c>
    </row>
    <row r="1917" spans="1:11" x14ac:dyDescent="0.35">
      <c r="A1917" t="s">
        <v>13</v>
      </c>
      <c r="B1917" t="s">
        <v>65</v>
      </c>
      <c r="K1917">
        <v>68.684810142166853</v>
      </c>
    </row>
    <row r="1918" spans="1:11" x14ac:dyDescent="0.35">
      <c r="A1918" t="s">
        <v>13</v>
      </c>
      <c r="B1918" t="s">
        <v>66</v>
      </c>
      <c r="K1918">
        <v>46.12468033117414</v>
      </c>
    </row>
    <row r="1919" spans="1:11" x14ac:dyDescent="0.35">
      <c r="A1919" t="s">
        <v>13</v>
      </c>
      <c r="B1919" t="s">
        <v>47</v>
      </c>
      <c r="K1919">
        <v>278.31162572586646</v>
      </c>
    </row>
    <row r="1920" spans="1:11" x14ac:dyDescent="0.35">
      <c r="A1920" t="s">
        <v>14</v>
      </c>
      <c r="B1920" t="s">
        <v>72</v>
      </c>
      <c r="K1920">
        <v>0</v>
      </c>
    </row>
    <row r="1921" spans="1:11" x14ac:dyDescent="0.35">
      <c r="A1921" t="s">
        <v>14</v>
      </c>
      <c r="B1921" t="s">
        <v>61</v>
      </c>
      <c r="K1921">
        <v>5.5267918978352633</v>
      </c>
    </row>
    <row r="1922" spans="1:11" x14ac:dyDescent="0.35">
      <c r="A1922" t="s">
        <v>14</v>
      </c>
      <c r="B1922" t="s">
        <v>62</v>
      </c>
      <c r="K1922">
        <v>58.057005749122901</v>
      </c>
    </row>
    <row r="1923" spans="1:11" x14ac:dyDescent="0.35">
      <c r="A1923" t="s">
        <v>14</v>
      </c>
      <c r="B1923" t="s">
        <v>63</v>
      </c>
      <c r="K1923">
        <v>83.269882062364502</v>
      </c>
    </row>
    <row r="1924" spans="1:11" x14ac:dyDescent="0.35">
      <c r="A1924" t="s">
        <v>14</v>
      </c>
      <c r="B1924" t="s">
        <v>64</v>
      </c>
      <c r="K1924">
        <v>81.405013230186981</v>
      </c>
    </row>
    <row r="1925" spans="1:11" x14ac:dyDescent="0.35">
      <c r="A1925" t="s">
        <v>14</v>
      </c>
      <c r="B1925" t="s">
        <v>65</v>
      </c>
      <c r="K1925">
        <v>91.411284661706105</v>
      </c>
    </row>
    <row r="1926" spans="1:11" x14ac:dyDescent="0.35">
      <c r="A1926" t="s">
        <v>14</v>
      </c>
      <c r="B1926" t="s">
        <v>66</v>
      </c>
      <c r="K1926">
        <v>63.296415771919094</v>
      </c>
    </row>
    <row r="1927" spans="1:11" x14ac:dyDescent="0.35">
      <c r="A1927" t="s">
        <v>14</v>
      </c>
      <c r="B1927" t="s">
        <v>47</v>
      </c>
      <c r="K1927">
        <v>382.96639337313479</v>
      </c>
    </row>
    <row r="1928" spans="1:11" x14ac:dyDescent="0.35">
      <c r="A1928" t="s">
        <v>15</v>
      </c>
      <c r="B1928" t="s">
        <v>72</v>
      </c>
      <c r="K1928">
        <v>0</v>
      </c>
    </row>
    <row r="1929" spans="1:11" x14ac:dyDescent="0.35">
      <c r="A1929" t="s">
        <v>15</v>
      </c>
      <c r="B1929" t="s">
        <v>61</v>
      </c>
      <c r="K1929">
        <v>25.847518859665669</v>
      </c>
    </row>
    <row r="1930" spans="1:11" x14ac:dyDescent="0.35">
      <c r="A1930" t="s">
        <v>15</v>
      </c>
      <c r="B1930" t="s">
        <v>62</v>
      </c>
      <c r="K1930">
        <v>103.66590493964281</v>
      </c>
    </row>
    <row r="1931" spans="1:11" x14ac:dyDescent="0.35">
      <c r="A1931" t="s">
        <v>15</v>
      </c>
      <c r="B1931" t="s">
        <v>63</v>
      </c>
      <c r="K1931">
        <v>141.00338931236709</v>
      </c>
    </row>
    <row r="1932" spans="1:11" x14ac:dyDescent="0.35">
      <c r="A1932" t="s">
        <v>15</v>
      </c>
      <c r="B1932" t="s">
        <v>64</v>
      </c>
      <c r="K1932">
        <v>137.89505673830041</v>
      </c>
    </row>
    <row r="1933" spans="1:11" x14ac:dyDescent="0.35">
      <c r="A1933" t="s">
        <v>15</v>
      </c>
      <c r="B1933" t="s">
        <v>65</v>
      </c>
      <c r="K1933">
        <v>152.35715761702681</v>
      </c>
    </row>
    <row r="1934" spans="1:11" x14ac:dyDescent="0.35">
      <c r="A1934" t="s">
        <v>15</v>
      </c>
      <c r="B1934" t="s">
        <v>66</v>
      </c>
      <c r="K1934">
        <v>109.71661195481934</v>
      </c>
    </row>
    <row r="1935" spans="1:11" x14ac:dyDescent="0.35">
      <c r="A1935" t="s">
        <v>15</v>
      </c>
      <c r="B1935" t="s">
        <v>47</v>
      </c>
      <c r="K1935">
        <v>670.48563942182216</v>
      </c>
    </row>
    <row r="1936" spans="1:11" x14ac:dyDescent="0.35">
      <c r="A1936" t="s">
        <v>16</v>
      </c>
      <c r="B1936" t="s">
        <v>72</v>
      </c>
      <c r="K1936">
        <v>0</v>
      </c>
    </row>
    <row r="1937" spans="1:11" x14ac:dyDescent="0.35">
      <c r="A1937" t="s">
        <v>16</v>
      </c>
      <c r="B1937" t="s">
        <v>61</v>
      </c>
      <c r="K1937">
        <v>18.864143280895217</v>
      </c>
    </row>
    <row r="1938" spans="1:11" x14ac:dyDescent="0.35">
      <c r="A1938" t="s">
        <v>16</v>
      </c>
      <c r="B1938" t="s">
        <v>62</v>
      </c>
      <c r="K1938">
        <v>79.519314879789022</v>
      </c>
    </row>
    <row r="1939" spans="1:11" x14ac:dyDescent="0.35">
      <c r="A1939" t="s">
        <v>16</v>
      </c>
      <c r="B1939" t="s">
        <v>63</v>
      </c>
      <c r="K1939">
        <v>108.62277899606944</v>
      </c>
    </row>
    <row r="1940" spans="1:11" x14ac:dyDescent="0.35">
      <c r="A1940" t="s">
        <v>16</v>
      </c>
      <c r="B1940" t="s">
        <v>64</v>
      </c>
      <c r="K1940">
        <v>106.22511154187487</v>
      </c>
    </row>
    <row r="1941" spans="1:11" x14ac:dyDescent="0.35">
      <c r="A1941" t="s">
        <v>16</v>
      </c>
      <c r="B1941" t="s">
        <v>65</v>
      </c>
      <c r="K1941">
        <v>117.52376091297512</v>
      </c>
    </row>
    <row r="1942" spans="1:11" x14ac:dyDescent="0.35">
      <c r="A1942" t="s">
        <v>16</v>
      </c>
      <c r="B1942" t="s">
        <v>66</v>
      </c>
      <c r="K1942">
        <v>84.359770380925852</v>
      </c>
    </row>
    <row r="1943" spans="1:11" x14ac:dyDescent="0.35">
      <c r="A1943" t="s">
        <v>16</v>
      </c>
      <c r="B1943" t="s">
        <v>47</v>
      </c>
      <c r="K1943">
        <v>515.1148799925295</v>
      </c>
    </row>
    <row r="1944" spans="1:11" x14ac:dyDescent="0.35">
      <c r="A1944" t="s">
        <v>17</v>
      </c>
      <c r="B1944" t="s">
        <v>72</v>
      </c>
      <c r="K1944">
        <v>0</v>
      </c>
    </row>
    <row r="1945" spans="1:11" x14ac:dyDescent="0.35">
      <c r="A1945" t="s">
        <v>17</v>
      </c>
      <c r="B1945" t="s">
        <v>61</v>
      </c>
      <c r="K1945">
        <v>5.9227592508794338</v>
      </c>
    </row>
    <row r="1946" spans="1:11" x14ac:dyDescent="0.35">
      <c r="A1946" t="s">
        <v>17</v>
      </c>
      <c r="B1946" t="s">
        <v>62</v>
      </c>
      <c r="K1946">
        <v>53.008251352568571</v>
      </c>
    </row>
    <row r="1947" spans="1:11" x14ac:dyDescent="0.35">
      <c r="A1947" t="s">
        <v>17</v>
      </c>
      <c r="B1947" t="s">
        <v>63</v>
      </c>
      <c r="K1947">
        <v>75.607120375553976</v>
      </c>
    </row>
    <row r="1948" spans="1:11" x14ac:dyDescent="0.35">
      <c r="A1948" t="s">
        <v>17</v>
      </c>
      <c r="B1948" t="s">
        <v>64</v>
      </c>
      <c r="K1948">
        <v>73.916578590923365</v>
      </c>
    </row>
    <row r="1949" spans="1:11" x14ac:dyDescent="0.35">
      <c r="A1949" t="s">
        <v>17</v>
      </c>
      <c r="B1949" t="s">
        <v>65</v>
      </c>
      <c r="K1949">
        <v>82.865890821282022</v>
      </c>
    </row>
    <row r="1950" spans="1:11" x14ac:dyDescent="0.35">
      <c r="A1950" t="s">
        <v>17</v>
      </c>
      <c r="B1950" t="s">
        <v>66</v>
      </c>
      <c r="K1950">
        <v>57.610738094813179</v>
      </c>
    </row>
    <row r="1951" spans="1:11" x14ac:dyDescent="0.35">
      <c r="A1951" t="s">
        <v>17</v>
      </c>
      <c r="B1951" t="s">
        <v>47</v>
      </c>
      <c r="K1951">
        <v>348.93133848602054</v>
      </c>
    </row>
    <row r="1952" spans="1:11" x14ac:dyDescent="0.35">
      <c r="A1952" t="s">
        <v>18</v>
      </c>
      <c r="B1952" t="s">
        <v>72</v>
      </c>
      <c r="K1952">
        <v>0</v>
      </c>
    </row>
    <row r="1953" spans="1:11" x14ac:dyDescent="0.35">
      <c r="A1953" t="s">
        <v>18</v>
      </c>
      <c r="B1953" t="s">
        <v>61</v>
      </c>
      <c r="K1953">
        <v>8.562499915003313</v>
      </c>
    </row>
    <row r="1954" spans="1:11" x14ac:dyDescent="0.35">
      <c r="A1954" t="s">
        <v>18</v>
      </c>
      <c r="B1954" t="s">
        <v>62</v>
      </c>
      <c r="K1954">
        <v>59.691886922236286</v>
      </c>
    </row>
    <row r="1955" spans="1:11" x14ac:dyDescent="0.35">
      <c r="A1955" t="s">
        <v>18</v>
      </c>
      <c r="B1955" t="s">
        <v>63</v>
      </c>
      <c r="K1955">
        <v>84.230078888918868</v>
      </c>
    </row>
    <row r="1956" spans="1:11" x14ac:dyDescent="0.35">
      <c r="A1956" t="s">
        <v>18</v>
      </c>
      <c r="B1956" t="s">
        <v>64</v>
      </c>
      <c r="K1956">
        <v>82.352628998327191</v>
      </c>
    </row>
    <row r="1957" spans="1:11" x14ac:dyDescent="0.35">
      <c r="A1957" t="s">
        <v>18</v>
      </c>
      <c r="B1957" t="s">
        <v>65</v>
      </c>
      <c r="K1957">
        <v>92.026956655085158</v>
      </c>
    </row>
    <row r="1958" spans="1:11" x14ac:dyDescent="0.35">
      <c r="A1958" t="s">
        <v>18</v>
      </c>
      <c r="B1958" t="s">
        <v>66</v>
      </c>
      <c r="K1958">
        <v>64.483189313686182</v>
      </c>
    </row>
    <row r="1959" spans="1:11" x14ac:dyDescent="0.35">
      <c r="A1959" t="s">
        <v>18</v>
      </c>
      <c r="B1959" t="s">
        <v>47</v>
      </c>
      <c r="K1959">
        <v>391.34724069325699</v>
      </c>
    </row>
    <row r="1960" spans="1:11" x14ac:dyDescent="0.35">
      <c r="A1960" t="s">
        <v>19</v>
      </c>
      <c r="B1960" t="s">
        <v>72</v>
      </c>
      <c r="K1960">
        <v>0</v>
      </c>
    </row>
    <row r="1961" spans="1:11" x14ac:dyDescent="0.35">
      <c r="A1961" t="s">
        <v>19</v>
      </c>
      <c r="B1961" t="s">
        <v>61</v>
      </c>
      <c r="K1961">
        <v>90.831365258840705</v>
      </c>
    </row>
    <row r="1962" spans="1:11" x14ac:dyDescent="0.35">
      <c r="A1962" t="s">
        <v>19</v>
      </c>
      <c r="B1962" t="s">
        <v>62</v>
      </c>
      <c r="K1962">
        <v>319.02071466794263</v>
      </c>
    </row>
    <row r="1963" spans="1:11" x14ac:dyDescent="0.35">
      <c r="A1963" t="s">
        <v>19</v>
      </c>
      <c r="B1963" t="s">
        <v>63</v>
      </c>
      <c r="K1963">
        <v>428.49560610833481</v>
      </c>
    </row>
    <row r="1964" spans="1:11" x14ac:dyDescent="0.35">
      <c r="A1964" t="s">
        <v>19</v>
      </c>
      <c r="B1964" t="s">
        <v>64</v>
      </c>
      <c r="K1964">
        <v>419.08656433148275</v>
      </c>
    </row>
    <row r="1965" spans="1:11" x14ac:dyDescent="0.35">
      <c r="A1965" t="s">
        <v>19</v>
      </c>
      <c r="B1965" t="s">
        <v>65</v>
      </c>
      <c r="K1965">
        <v>461.18666750134224</v>
      </c>
    </row>
    <row r="1966" spans="1:11" x14ac:dyDescent="0.35">
      <c r="A1966" t="s">
        <v>19</v>
      </c>
      <c r="B1966" t="s">
        <v>66</v>
      </c>
      <c r="K1966">
        <v>335.30648196945964</v>
      </c>
    </row>
    <row r="1967" spans="1:11" x14ac:dyDescent="0.35">
      <c r="A1967" t="s">
        <v>19</v>
      </c>
      <c r="B1967" t="s">
        <v>47</v>
      </c>
      <c r="K1967">
        <v>2053.9273998374028</v>
      </c>
    </row>
    <row r="1968" spans="1:11" x14ac:dyDescent="0.35">
      <c r="A1968" t="s">
        <v>20</v>
      </c>
      <c r="B1968" t="s">
        <v>72</v>
      </c>
      <c r="K1968">
        <v>0</v>
      </c>
    </row>
    <row r="1969" spans="1:11" x14ac:dyDescent="0.35">
      <c r="A1969" t="s">
        <v>20</v>
      </c>
      <c r="B1969" t="s">
        <v>61</v>
      </c>
      <c r="K1969">
        <v>6.5754312778372128</v>
      </c>
    </row>
    <row r="1970" spans="1:11" x14ac:dyDescent="0.35">
      <c r="A1970" t="s">
        <v>20</v>
      </c>
      <c r="B1970" t="s">
        <v>62</v>
      </c>
      <c r="K1970">
        <v>32.995685275779742</v>
      </c>
    </row>
    <row r="1971" spans="1:11" x14ac:dyDescent="0.35">
      <c r="A1971" t="s">
        <v>20</v>
      </c>
      <c r="B1971" t="s">
        <v>63</v>
      </c>
      <c r="K1971">
        <v>45.673809798862891</v>
      </c>
    </row>
    <row r="1972" spans="1:11" x14ac:dyDescent="0.35">
      <c r="A1972" t="s">
        <v>20</v>
      </c>
      <c r="B1972" t="s">
        <v>64</v>
      </c>
      <c r="K1972">
        <v>44.661563324334374</v>
      </c>
    </row>
    <row r="1973" spans="1:11" x14ac:dyDescent="0.35">
      <c r="A1973" t="s">
        <v>20</v>
      </c>
      <c r="B1973" t="s">
        <v>65</v>
      </c>
      <c r="K1973">
        <v>49.616616215514256</v>
      </c>
    </row>
    <row r="1974" spans="1:11" x14ac:dyDescent="0.35">
      <c r="A1974" t="s">
        <v>20</v>
      </c>
      <c r="B1974" t="s">
        <v>66</v>
      </c>
      <c r="K1974">
        <v>35.263124248675773</v>
      </c>
    </row>
    <row r="1975" spans="1:11" x14ac:dyDescent="0.35">
      <c r="A1975" t="s">
        <v>20</v>
      </c>
      <c r="B1975" t="s">
        <v>47</v>
      </c>
      <c r="K1975">
        <v>214.78623014100424</v>
      </c>
    </row>
    <row r="1976" spans="1:11" x14ac:dyDescent="0.35">
      <c r="A1976" t="s">
        <v>21</v>
      </c>
      <c r="B1976" t="s">
        <v>72</v>
      </c>
      <c r="K1976">
        <v>0</v>
      </c>
    </row>
    <row r="1977" spans="1:11" x14ac:dyDescent="0.35">
      <c r="A1977" t="s">
        <v>21</v>
      </c>
      <c r="B1977" t="s">
        <v>61</v>
      </c>
      <c r="K1977">
        <v>24.31745408631534</v>
      </c>
    </row>
    <row r="1978" spans="1:11" x14ac:dyDescent="0.35">
      <c r="A1978" t="s">
        <v>21</v>
      </c>
      <c r="B1978" t="s">
        <v>62</v>
      </c>
      <c r="K1978">
        <v>87.273816764633025</v>
      </c>
    </row>
    <row r="1979" spans="1:11" x14ac:dyDescent="0.35">
      <c r="A1979" t="s">
        <v>21</v>
      </c>
      <c r="B1979" t="s">
        <v>63</v>
      </c>
      <c r="K1979">
        <v>117.47796543372382</v>
      </c>
    </row>
    <row r="1980" spans="1:11" x14ac:dyDescent="0.35">
      <c r="A1980" t="s">
        <v>21</v>
      </c>
      <c r="B1980" t="s">
        <v>64</v>
      </c>
      <c r="K1980">
        <v>114.89659014976905</v>
      </c>
    </row>
    <row r="1981" spans="1:11" x14ac:dyDescent="0.35">
      <c r="A1981" t="s">
        <v>21</v>
      </c>
      <c r="B1981" t="s">
        <v>65</v>
      </c>
      <c r="K1981">
        <v>126.52699621061396</v>
      </c>
    </row>
    <row r="1982" spans="1:11" x14ac:dyDescent="0.35">
      <c r="A1982" t="s">
        <v>21</v>
      </c>
      <c r="B1982" t="s">
        <v>66</v>
      </c>
      <c r="K1982">
        <v>91.838917754580322</v>
      </c>
    </row>
    <row r="1983" spans="1:11" x14ac:dyDescent="0.35">
      <c r="A1983" t="s">
        <v>21</v>
      </c>
      <c r="B1983" t="s">
        <v>47</v>
      </c>
      <c r="K1983">
        <v>562.33174039963546</v>
      </c>
    </row>
    <row r="1984" spans="1:11" x14ac:dyDescent="0.35">
      <c r="A1984" t="s">
        <v>22</v>
      </c>
      <c r="B1984" t="s">
        <v>72</v>
      </c>
      <c r="K1984">
        <v>0</v>
      </c>
    </row>
    <row r="1985" spans="1:11" x14ac:dyDescent="0.35">
      <c r="A1985" t="s">
        <v>22</v>
      </c>
      <c r="B1985" t="s">
        <v>61</v>
      </c>
      <c r="K1985">
        <v>7.8255127746122968</v>
      </c>
    </row>
    <row r="1986" spans="1:11" x14ac:dyDescent="0.35">
      <c r="A1986" t="s">
        <v>22</v>
      </c>
      <c r="B1986" t="s">
        <v>62</v>
      </c>
      <c r="K1986">
        <v>68.315757564621862</v>
      </c>
    </row>
    <row r="1987" spans="1:11" x14ac:dyDescent="0.35">
      <c r="A1987" t="s">
        <v>22</v>
      </c>
      <c r="B1987" t="s">
        <v>63</v>
      </c>
      <c r="K1987">
        <v>97.348132292599388</v>
      </c>
    </row>
    <row r="1988" spans="1:11" x14ac:dyDescent="0.35">
      <c r="A1988" t="s">
        <v>22</v>
      </c>
      <c r="B1988" t="s">
        <v>64</v>
      </c>
      <c r="K1988">
        <v>95.172070517767651</v>
      </c>
    </row>
    <row r="1989" spans="1:11" x14ac:dyDescent="0.35">
      <c r="A1989" t="s">
        <v>22</v>
      </c>
      <c r="B1989" t="s">
        <v>65</v>
      </c>
      <c r="K1989">
        <v>106.66472902727179</v>
      </c>
    </row>
    <row r="1990" spans="1:11" x14ac:dyDescent="0.35">
      <c r="A1990" t="s">
        <v>22</v>
      </c>
      <c r="B1990" t="s">
        <v>66</v>
      </c>
      <c r="K1990">
        <v>74.207539292276081</v>
      </c>
    </row>
    <row r="1991" spans="1:11" x14ac:dyDescent="0.35">
      <c r="A1991" t="s">
        <v>22</v>
      </c>
      <c r="B1991" t="s">
        <v>47</v>
      </c>
      <c r="K1991">
        <v>449.53374146914905</v>
      </c>
    </row>
    <row r="1992" spans="1:11" x14ac:dyDescent="0.35">
      <c r="A1992" t="s">
        <v>23</v>
      </c>
      <c r="B1992" t="s">
        <v>72</v>
      </c>
      <c r="K1992">
        <v>0</v>
      </c>
    </row>
    <row r="1993" spans="1:11" x14ac:dyDescent="0.35">
      <c r="A1993" t="s">
        <v>23</v>
      </c>
      <c r="B1993" t="s">
        <v>61</v>
      </c>
      <c r="K1993">
        <v>10.542296537036648</v>
      </c>
    </row>
    <row r="1994" spans="1:11" x14ac:dyDescent="0.35">
      <c r="A1994" t="s">
        <v>23</v>
      </c>
      <c r="B1994" t="s">
        <v>62</v>
      </c>
      <c r="K1994">
        <v>50.923478155855513</v>
      </c>
    </row>
    <row r="1995" spans="1:11" x14ac:dyDescent="0.35">
      <c r="A1995" t="s">
        <v>23</v>
      </c>
      <c r="B1995" t="s">
        <v>63</v>
      </c>
      <c r="K1995">
        <v>70.300586527186411</v>
      </c>
    </row>
    <row r="1996" spans="1:11" x14ac:dyDescent="0.35">
      <c r="A1996" t="s">
        <v>23</v>
      </c>
      <c r="B1996" t="s">
        <v>64</v>
      </c>
      <c r="K1996">
        <v>68.743814170339832</v>
      </c>
    </row>
    <row r="1997" spans="1:11" x14ac:dyDescent="0.35">
      <c r="A1997" t="s">
        <v>23</v>
      </c>
      <c r="B1997" t="s">
        <v>65</v>
      </c>
      <c r="K1997">
        <v>76.307135135542126</v>
      </c>
    </row>
    <row r="1998" spans="1:11" x14ac:dyDescent="0.35">
      <c r="A1998" t="s">
        <v>23</v>
      </c>
      <c r="B1998" t="s">
        <v>66</v>
      </c>
      <c r="K1998">
        <v>54.341377068311729</v>
      </c>
    </row>
    <row r="1999" spans="1:11" x14ac:dyDescent="0.35">
      <c r="A1999" t="s">
        <v>23</v>
      </c>
      <c r="B1999" t="s">
        <v>47</v>
      </c>
      <c r="K1999">
        <v>331.15868759427224</v>
      </c>
    </row>
    <row r="2000" spans="1:11" x14ac:dyDescent="0.35">
      <c r="A2000" t="s">
        <v>24</v>
      </c>
      <c r="B2000" t="s">
        <v>72</v>
      </c>
      <c r="K2000">
        <v>0</v>
      </c>
    </row>
    <row r="2001" spans="1:11" x14ac:dyDescent="0.35">
      <c r="A2001" t="s">
        <v>24</v>
      </c>
      <c r="B2001" t="s">
        <v>61</v>
      </c>
      <c r="K2001">
        <v>0</v>
      </c>
    </row>
    <row r="2002" spans="1:11" x14ac:dyDescent="0.35">
      <c r="A2002" t="s">
        <v>24</v>
      </c>
      <c r="B2002" t="s">
        <v>62</v>
      </c>
      <c r="K2002">
        <v>33.39565670006629</v>
      </c>
    </row>
    <row r="2003" spans="1:11" x14ac:dyDescent="0.35">
      <c r="A2003" t="s">
        <v>24</v>
      </c>
      <c r="B2003" t="s">
        <v>63</v>
      </c>
      <c r="K2003">
        <v>50.70759091924193</v>
      </c>
    </row>
    <row r="2004" spans="1:11" x14ac:dyDescent="0.35">
      <c r="A2004" t="s">
        <v>24</v>
      </c>
      <c r="B2004" t="s">
        <v>64</v>
      </c>
      <c r="K2004">
        <v>49.553869073989702</v>
      </c>
    </row>
    <row r="2005" spans="1:11" x14ac:dyDescent="0.35">
      <c r="A2005" t="s">
        <v>24</v>
      </c>
      <c r="B2005" t="s">
        <v>65</v>
      </c>
      <c r="K2005">
        <v>56.554678272555527</v>
      </c>
    </row>
    <row r="2006" spans="1:11" x14ac:dyDescent="0.35">
      <c r="A2006" t="s">
        <v>24</v>
      </c>
      <c r="B2006" t="s">
        <v>66</v>
      </c>
      <c r="K2006">
        <v>37.617805363461095</v>
      </c>
    </row>
    <row r="2007" spans="1:11" x14ac:dyDescent="0.35">
      <c r="A2007" t="s">
        <v>24</v>
      </c>
      <c r="B2007" t="s">
        <v>47</v>
      </c>
      <c r="K2007">
        <v>227.82960032931453</v>
      </c>
    </row>
    <row r="2008" spans="1:11" x14ac:dyDescent="0.35">
      <c r="A2008" t="s">
        <v>25</v>
      </c>
      <c r="B2008" t="s">
        <v>72</v>
      </c>
      <c r="K2008">
        <v>0</v>
      </c>
    </row>
    <row r="2009" spans="1:11" x14ac:dyDescent="0.35">
      <c r="A2009" t="s">
        <v>25</v>
      </c>
      <c r="B2009" t="s">
        <v>61</v>
      </c>
      <c r="K2009">
        <v>5.209992813091084</v>
      </c>
    </row>
    <row r="2010" spans="1:11" x14ac:dyDescent="0.35">
      <c r="A2010" t="s">
        <v>25</v>
      </c>
      <c r="B2010" t="s">
        <v>62</v>
      </c>
      <c r="K2010">
        <v>55.368952514276629</v>
      </c>
    </row>
    <row r="2011" spans="1:11" x14ac:dyDescent="0.35">
      <c r="A2011" t="s">
        <v>25</v>
      </c>
      <c r="B2011" t="s">
        <v>63</v>
      </c>
      <c r="K2011">
        <v>79.443749541501873</v>
      </c>
    </row>
    <row r="2012" spans="1:11" x14ac:dyDescent="0.35">
      <c r="A2012" t="s">
        <v>25</v>
      </c>
      <c r="B2012" t="s">
        <v>64</v>
      </c>
      <c r="K2012">
        <v>77.664380074730843</v>
      </c>
    </row>
    <row r="2013" spans="1:11" x14ac:dyDescent="0.35">
      <c r="A2013" t="s">
        <v>25</v>
      </c>
      <c r="B2013" t="s">
        <v>65</v>
      </c>
      <c r="K2013">
        <v>87.220337584808519</v>
      </c>
    </row>
    <row r="2014" spans="1:11" x14ac:dyDescent="0.35">
      <c r="A2014" t="s">
        <v>25</v>
      </c>
      <c r="B2014" t="s">
        <v>66</v>
      </c>
      <c r="K2014">
        <v>60.378373283185056</v>
      </c>
    </row>
    <row r="2015" spans="1:11" x14ac:dyDescent="0.35">
      <c r="A2015" t="s">
        <v>25</v>
      </c>
      <c r="B2015" t="s">
        <v>47</v>
      </c>
      <c r="K2015">
        <v>365.285785811594</v>
      </c>
    </row>
    <row r="2016" spans="1:11" x14ac:dyDescent="0.35">
      <c r="A2016" t="s">
        <v>26</v>
      </c>
      <c r="B2016" t="s">
        <v>72</v>
      </c>
      <c r="K2016">
        <v>0</v>
      </c>
    </row>
    <row r="2017" spans="1:11" x14ac:dyDescent="0.35">
      <c r="A2017" t="s">
        <v>26</v>
      </c>
      <c r="B2017" t="s">
        <v>61</v>
      </c>
      <c r="K2017">
        <v>19.652820390099116</v>
      </c>
    </row>
    <row r="2018" spans="1:11" x14ac:dyDescent="0.35">
      <c r="A2018" t="s">
        <v>26</v>
      </c>
      <c r="B2018" t="s">
        <v>62</v>
      </c>
      <c r="K2018">
        <v>88.779549114027887</v>
      </c>
    </row>
    <row r="2019" spans="1:11" x14ac:dyDescent="0.35">
      <c r="A2019" t="s">
        <v>26</v>
      </c>
      <c r="B2019" t="s">
        <v>63</v>
      </c>
      <c r="K2019">
        <v>121.94917352186415</v>
      </c>
    </row>
    <row r="2020" spans="1:11" x14ac:dyDescent="0.35">
      <c r="A2020" t="s">
        <v>26</v>
      </c>
      <c r="B2020" t="s">
        <v>64</v>
      </c>
      <c r="K2020">
        <v>119.25276739223887</v>
      </c>
    </row>
    <row r="2021" spans="1:11" x14ac:dyDescent="0.35">
      <c r="A2021" t="s">
        <v>26</v>
      </c>
      <c r="B2021" t="s">
        <v>65</v>
      </c>
      <c r="K2021">
        <v>132.1672291244117</v>
      </c>
    </row>
    <row r="2022" spans="1:11" x14ac:dyDescent="0.35">
      <c r="A2022" t="s">
        <v>26</v>
      </c>
      <c r="B2022" t="s">
        <v>66</v>
      </c>
      <c r="K2022">
        <v>94.474908302155498</v>
      </c>
    </row>
    <row r="2023" spans="1:11" x14ac:dyDescent="0.35">
      <c r="A2023" t="s">
        <v>26</v>
      </c>
      <c r="B2023" t="s">
        <v>47</v>
      </c>
      <c r="K2023">
        <v>576.2764478447973</v>
      </c>
    </row>
    <row r="2024" spans="1:11" x14ac:dyDescent="0.35">
      <c r="A2024" t="s">
        <v>27</v>
      </c>
      <c r="B2024" t="s">
        <v>72</v>
      </c>
      <c r="K2024">
        <v>0</v>
      </c>
    </row>
    <row r="2025" spans="1:11" x14ac:dyDescent="0.35">
      <c r="A2025" t="s">
        <v>27</v>
      </c>
      <c r="B2025" t="s">
        <v>61</v>
      </c>
      <c r="K2025">
        <v>11.563262084623606</v>
      </c>
    </row>
    <row r="2026" spans="1:11" x14ac:dyDescent="0.35">
      <c r="A2026" t="s">
        <v>27</v>
      </c>
      <c r="B2026" t="s">
        <v>62</v>
      </c>
      <c r="K2026">
        <v>57.825971666177665</v>
      </c>
    </row>
    <row r="2027" spans="1:11" x14ac:dyDescent="0.35">
      <c r="A2027" t="s">
        <v>27</v>
      </c>
      <c r="B2027" t="s">
        <v>63</v>
      </c>
      <c r="K2027">
        <v>80.025736884205898</v>
      </c>
    </row>
    <row r="2028" spans="1:11" x14ac:dyDescent="0.35">
      <c r="A2028" t="s">
        <v>27</v>
      </c>
      <c r="B2028" t="s">
        <v>64</v>
      </c>
      <c r="K2028">
        <v>78.252292490480997</v>
      </c>
    </row>
    <row r="2029" spans="1:11" x14ac:dyDescent="0.35">
      <c r="A2029" t="s">
        <v>27</v>
      </c>
      <c r="B2029" t="s">
        <v>65</v>
      </c>
      <c r="K2029">
        <v>86.927736672866644</v>
      </c>
    </row>
    <row r="2030" spans="1:11" x14ac:dyDescent="0.35">
      <c r="A2030" t="s">
        <v>27</v>
      </c>
      <c r="B2030" t="s">
        <v>66</v>
      </c>
      <c r="K2030">
        <v>61.791536842791679</v>
      </c>
    </row>
    <row r="2031" spans="1:11" x14ac:dyDescent="0.35">
      <c r="A2031" t="s">
        <v>27</v>
      </c>
      <c r="B2031" t="s">
        <v>47</v>
      </c>
      <c r="K2031">
        <v>376.38653664114651</v>
      </c>
    </row>
    <row r="2032" spans="1:11" x14ac:dyDescent="0.35">
      <c r="A2032" t="s">
        <v>28</v>
      </c>
      <c r="B2032" t="s">
        <v>72</v>
      </c>
      <c r="K2032">
        <v>0</v>
      </c>
    </row>
    <row r="2033" spans="1:12" x14ac:dyDescent="0.35">
      <c r="A2033" t="s">
        <v>28</v>
      </c>
      <c r="B2033" t="s">
        <v>61</v>
      </c>
      <c r="K2033">
        <v>12.566221346962143</v>
      </c>
    </row>
    <row r="2034" spans="1:12" x14ac:dyDescent="0.35">
      <c r="A2034" t="s">
        <v>28</v>
      </c>
      <c r="B2034" t="s">
        <v>62</v>
      </c>
      <c r="K2034">
        <v>47.438741748310846</v>
      </c>
    </row>
    <row r="2035" spans="1:12" x14ac:dyDescent="0.35">
      <c r="A2035" t="s">
        <v>28</v>
      </c>
      <c r="B2035" t="s">
        <v>63</v>
      </c>
      <c r="K2035">
        <v>64.169956860199449</v>
      </c>
    </row>
    <row r="2036" spans="1:12" x14ac:dyDescent="0.35">
      <c r="A2036" t="s">
        <v>28</v>
      </c>
      <c r="B2036" t="s">
        <v>64</v>
      </c>
      <c r="K2036">
        <v>62.757781155330015</v>
      </c>
    </row>
    <row r="2037" spans="1:12" x14ac:dyDescent="0.35">
      <c r="A2037" t="s">
        <v>28</v>
      </c>
      <c r="B2037" t="s">
        <v>65</v>
      </c>
      <c r="K2037">
        <v>69.218528073947766</v>
      </c>
    </row>
    <row r="2038" spans="1:12" x14ac:dyDescent="0.35">
      <c r="A2038" t="s">
        <v>28</v>
      </c>
      <c r="B2038" t="s">
        <v>66</v>
      </c>
      <c r="K2038">
        <v>50.054966602037616</v>
      </c>
    </row>
    <row r="2039" spans="1:12" x14ac:dyDescent="0.35">
      <c r="A2039" t="s">
        <v>28</v>
      </c>
      <c r="B2039" t="s">
        <v>47</v>
      </c>
      <c r="K2039">
        <v>306.20619578678782</v>
      </c>
    </row>
    <row r="2040" spans="1:12" x14ac:dyDescent="0.35">
      <c r="A2040" t="s">
        <v>29</v>
      </c>
      <c r="B2040" t="s">
        <v>72</v>
      </c>
      <c r="K2040">
        <v>0</v>
      </c>
    </row>
    <row r="2041" spans="1:12" x14ac:dyDescent="0.35">
      <c r="A2041" t="s">
        <v>29</v>
      </c>
      <c r="B2041" t="s">
        <v>61</v>
      </c>
      <c r="K2041">
        <v>17.519684106305608</v>
      </c>
    </row>
    <row r="2042" spans="1:12" x14ac:dyDescent="0.35">
      <c r="A2042" t="s">
        <v>29</v>
      </c>
      <c r="B2042" t="s">
        <v>62</v>
      </c>
      <c r="K2042">
        <v>77.71727707797163</v>
      </c>
    </row>
    <row r="2043" spans="1:12" x14ac:dyDescent="0.35">
      <c r="A2043" t="s">
        <v>29</v>
      </c>
      <c r="B2043" t="s">
        <v>63</v>
      </c>
      <c r="K2043">
        <v>106.71201230861257</v>
      </c>
    </row>
    <row r="2044" spans="1:12" x14ac:dyDescent="0.35">
      <c r="A2044" t="s">
        <v>29</v>
      </c>
      <c r="B2044" t="s">
        <v>64</v>
      </c>
      <c r="K2044">
        <v>104.35279498523688</v>
      </c>
    </row>
    <row r="2045" spans="1:12" x14ac:dyDescent="0.35">
      <c r="A2045" t="s">
        <v>29</v>
      </c>
      <c r="B2045" t="s">
        <v>65</v>
      </c>
      <c r="K2045">
        <v>115.63952669989618</v>
      </c>
    </row>
    <row r="2046" spans="1:12" x14ac:dyDescent="0.35">
      <c r="A2046" t="s">
        <v>29</v>
      </c>
      <c r="B2046" t="s">
        <v>66</v>
      </c>
      <c r="K2046">
        <v>82.68497994855143</v>
      </c>
    </row>
    <row r="2047" spans="1:12" x14ac:dyDescent="0.35">
      <c r="A2047" t="s">
        <v>2</v>
      </c>
      <c r="B2047" t="s">
        <v>72</v>
      </c>
      <c r="L2047">
        <v>1.9436558200480456</v>
      </c>
    </row>
    <row r="2048" spans="1:12" x14ac:dyDescent="0.35">
      <c r="A2048" t="s">
        <v>2</v>
      </c>
      <c r="B2048" t="s">
        <v>61</v>
      </c>
      <c r="L2048">
        <v>5.2964621096309239</v>
      </c>
    </row>
    <row r="2049" spans="1:12" x14ac:dyDescent="0.35">
      <c r="A2049" t="s">
        <v>2</v>
      </c>
      <c r="B2049" t="s">
        <v>62</v>
      </c>
      <c r="L2049">
        <v>5.1020965276261201</v>
      </c>
    </row>
    <row r="2050" spans="1:12" x14ac:dyDescent="0.35">
      <c r="A2050" t="s">
        <v>2</v>
      </c>
      <c r="B2050" t="s">
        <v>63</v>
      </c>
      <c r="L2050">
        <v>5.0049137366237177</v>
      </c>
    </row>
    <row r="2051" spans="1:12" x14ac:dyDescent="0.35">
      <c r="A2051" t="s">
        <v>2</v>
      </c>
      <c r="B2051" t="s">
        <v>64</v>
      </c>
      <c r="L2051">
        <v>4.9077309456213154</v>
      </c>
    </row>
    <row r="2052" spans="1:12" x14ac:dyDescent="0.35">
      <c r="A2052" t="s">
        <v>2</v>
      </c>
      <c r="B2052" t="s">
        <v>65</v>
      </c>
      <c r="L2052">
        <v>4.7619567591177114</v>
      </c>
    </row>
    <row r="2053" spans="1:12" x14ac:dyDescent="0.35">
      <c r="A2053" t="s">
        <v>2</v>
      </c>
      <c r="B2053" t="s">
        <v>66</v>
      </c>
      <c r="L2053">
        <v>4.5675911771129067</v>
      </c>
    </row>
    <row r="2054" spans="1:12" x14ac:dyDescent="0.35">
      <c r="A2054" t="s">
        <v>2</v>
      </c>
      <c r="B2054" t="s">
        <v>47</v>
      </c>
      <c r="L2054">
        <v>31.61057290168678</v>
      </c>
    </row>
    <row r="2055" spans="1:12" x14ac:dyDescent="0.35">
      <c r="A2055" t="s">
        <v>3</v>
      </c>
      <c r="B2055" t="s">
        <v>72</v>
      </c>
      <c r="L2055">
        <v>4.3158161970043158</v>
      </c>
    </row>
    <row r="2056" spans="1:12" x14ac:dyDescent="0.35">
      <c r="A2056" t="s">
        <v>3</v>
      </c>
      <c r="B2056" t="s">
        <v>61</v>
      </c>
      <c r="L2056">
        <v>11.76059913683676</v>
      </c>
    </row>
    <row r="2057" spans="1:12" x14ac:dyDescent="0.35">
      <c r="A2057" t="s">
        <v>3</v>
      </c>
      <c r="B2057" t="s">
        <v>62</v>
      </c>
      <c r="L2057">
        <v>11.329017517136329</v>
      </c>
    </row>
    <row r="2058" spans="1:12" x14ac:dyDescent="0.35">
      <c r="A2058" t="s">
        <v>3</v>
      </c>
      <c r="B2058" t="s">
        <v>63</v>
      </c>
      <c r="L2058">
        <v>11.113226707286112</v>
      </c>
    </row>
    <row r="2059" spans="1:12" x14ac:dyDescent="0.35">
      <c r="A2059" t="s">
        <v>3</v>
      </c>
      <c r="B2059" t="s">
        <v>64</v>
      </c>
      <c r="L2059">
        <v>10.897435897435898</v>
      </c>
    </row>
    <row r="2060" spans="1:12" x14ac:dyDescent="0.35">
      <c r="A2060" t="s">
        <v>3</v>
      </c>
      <c r="B2060" t="s">
        <v>65</v>
      </c>
      <c r="L2060">
        <v>10.573749682660573</v>
      </c>
    </row>
    <row r="2061" spans="1:12" x14ac:dyDescent="0.35">
      <c r="A2061" t="s">
        <v>3</v>
      </c>
      <c r="B2061" t="s">
        <v>66</v>
      </c>
      <c r="L2061">
        <v>10.142168062960142</v>
      </c>
    </row>
    <row r="2062" spans="1:12" x14ac:dyDescent="0.35">
      <c r="A2062" t="s">
        <v>3</v>
      </c>
      <c r="B2062" t="s">
        <v>47</v>
      </c>
      <c r="L2062">
        <v>70.226363558404302</v>
      </c>
    </row>
    <row r="2063" spans="1:12" x14ac:dyDescent="0.35">
      <c r="A2063" t="s">
        <v>4</v>
      </c>
      <c r="B2063" t="s">
        <v>72</v>
      </c>
      <c r="L2063">
        <v>11.947245927075251</v>
      </c>
    </row>
    <row r="2064" spans="1:12" x14ac:dyDescent="0.35">
      <c r="A2064" t="s">
        <v>4</v>
      </c>
      <c r="B2064" t="s">
        <v>61</v>
      </c>
      <c r="L2064">
        <v>32.556245151280059</v>
      </c>
    </row>
    <row r="2065" spans="1:12" x14ac:dyDescent="0.35">
      <c r="A2065" t="s">
        <v>4</v>
      </c>
      <c r="B2065" t="s">
        <v>62</v>
      </c>
      <c r="L2065">
        <v>31.361520558572536</v>
      </c>
    </row>
    <row r="2066" spans="1:12" x14ac:dyDescent="0.35">
      <c r="A2066" t="s">
        <v>4</v>
      </c>
      <c r="B2066" t="s">
        <v>63</v>
      </c>
      <c r="L2066">
        <v>30.764158262218775</v>
      </c>
    </row>
    <row r="2067" spans="1:12" x14ac:dyDescent="0.35">
      <c r="A2067" t="s">
        <v>4</v>
      </c>
      <c r="B2067" t="s">
        <v>64</v>
      </c>
      <c r="L2067">
        <v>30.166795965865013</v>
      </c>
    </row>
    <row r="2068" spans="1:12" x14ac:dyDescent="0.35">
      <c r="A2068" t="s">
        <v>4</v>
      </c>
      <c r="B2068" t="s">
        <v>65</v>
      </c>
      <c r="L2068">
        <v>29.270752521334366</v>
      </c>
    </row>
    <row r="2069" spans="1:12" x14ac:dyDescent="0.35">
      <c r="A2069" t="s">
        <v>4</v>
      </c>
      <c r="B2069" t="s">
        <v>66</v>
      </c>
      <c r="L2069">
        <v>28.076027928626839</v>
      </c>
    </row>
    <row r="2070" spans="1:12" x14ac:dyDescent="0.35">
      <c r="A2070" t="s">
        <v>4</v>
      </c>
      <c r="B2070" t="s">
        <v>47</v>
      </c>
      <c r="L2070">
        <v>193.90925370892936</v>
      </c>
    </row>
    <row r="2071" spans="1:12" x14ac:dyDescent="0.35">
      <c r="A2071" t="s">
        <v>5</v>
      </c>
      <c r="B2071" t="s">
        <v>72</v>
      </c>
      <c r="L2071">
        <v>10.046607975142415</v>
      </c>
    </row>
    <row r="2072" spans="1:12" x14ac:dyDescent="0.35">
      <c r="A2072" t="s">
        <v>5</v>
      </c>
      <c r="B2072" t="s">
        <v>61</v>
      </c>
      <c r="L2072">
        <v>27.377006732263073</v>
      </c>
    </row>
    <row r="2073" spans="1:12" x14ac:dyDescent="0.35">
      <c r="A2073" t="s">
        <v>5</v>
      </c>
      <c r="B2073" t="s">
        <v>62</v>
      </c>
      <c r="L2073">
        <v>26.372345934748836</v>
      </c>
    </row>
    <row r="2074" spans="1:12" x14ac:dyDescent="0.35">
      <c r="A2074" t="s">
        <v>5</v>
      </c>
      <c r="B2074" t="s">
        <v>63</v>
      </c>
      <c r="L2074">
        <v>25.870015535991712</v>
      </c>
    </row>
    <row r="2075" spans="1:12" x14ac:dyDescent="0.35">
      <c r="A2075" t="s">
        <v>5</v>
      </c>
      <c r="B2075" t="s">
        <v>64</v>
      </c>
      <c r="L2075">
        <v>25.367685137234592</v>
      </c>
    </row>
    <row r="2076" spans="1:12" x14ac:dyDescent="0.35">
      <c r="A2076" t="s">
        <v>5</v>
      </c>
      <c r="B2076" t="s">
        <v>65</v>
      </c>
      <c r="L2076">
        <v>24.614189539098913</v>
      </c>
    </row>
    <row r="2077" spans="1:12" x14ac:dyDescent="0.35">
      <c r="A2077" t="s">
        <v>5</v>
      </c>
      <c r="B2077" t="s">
        <v>66</v>
      </c>
      <c r="L2077">
        <v>23.609528741584672</v>
      </c>
    </row>
    <row r="2078" spans="1:12" x14ac:dyDescent="0.35">
      <c r="A2078" t="s">
        <v>5</v>
      </c>
      <c r="B2078" t="s">
        <v>47</v>
      </c>
      <c r="L2078">
        <v>163.52562131338289</v>
      </c>
    </row>
    <row r="2079" spans="1:12" x14ac:dyDescent="0.35">
      <c r="A2079" t="s">
        <v>6</v>
      </c>
      <c r="B2079" t="s">
        <v>72</v>
      </c>
      <c r="L2079">
        <v>4.1407867494824018</v>
      </c>
    </row>
    <row r="2080" spans="1:12" x14ac:dyDescent="0.35">
      <c r="A2080" t="s">
        <v>6</v>
      </c>
      <c r="B2080" t="s">
        <v>61</v>
      </c>
      <c r="L2080">
        <v>11.283643892339546</v>
      </c>
    </row>
    <row r="2081" spans="1:12" x14ac:dyDescent="0.35">
      <c r="A2081" t="s">
        <v>6</v>
      </c>
      <c r="B2081" t="s">
        <v>62</v>
      </c>
      <c r="L2081">
        <v>10.869565217391305</v>
      </c>
    </row>
    <row r="2082" spans="1:12" x14ac:dyDescent="0.35">
      <c r="A2082" t="s">
        <v>6</v>
      </c>
      <c r="B2082" t="s">
        <v>63</v>
      </c>
      <c r="L2082">
        <v>10.662525879917185</v>
      </c>
    </row>
    <row r="2083" spans="1:12" x14ac:dyDescent="0.35">
      <c r="A2083" t="s">
        <v>6</v>
      </c>
      <c r="B2083" t="s">
        <v>64</v>
      </c>
      <c r="L2083">
        <v>10.455486542443063</v>
      </c>
    </row>
    <row r="2084" spans="1:12" x14ac:dyDescent="0.35">
      <c r="A2084" t="s">
        <v>6</v>
      </c>
      <c r="B2084" t="s">
        <v>65</v>
      </c>
      <c r="L2084">
        <v>10.144927536231885</v>
      </c>
    </row>
    <row r="2085" spans="1:12" x14ac:dyDescent="0.35">
      <c r="A2085" t="s">
        <v>6</v>
      </c>
      <c r="B2085" t="s">
        <v>66</v>
      </c>
      <c r="L2085">
        <v>9.7308488612836452</v>
      </c>
    </row>
    <row r="2086" spans="1:12" x14ac:dyDescent="0.35">
      <c r="A2086" t="s">
        <v>6</v>
      </c>
      <c r="B2086" t="s">
        <v>47</v>
      </c>
      <c r="L2086">
        <v>67.8689996539605</v>
      </c>
    </row>
    <row r="2087" spans="1:12" x14ac:dyDescent="0.35">
      <c r="A2087" t="s">
        <v>7</v>
      </c>
      <c r="B2087" t="s">
        <v>72</v>
      </c>
      <c r="L2087">
        <v>4.4032657554352816</v>
      </c>
    </row>
    <row r="2088" spans="1:12" x14ac:dyDescent="0.35">
      <c r="A2088" t="s">
        <v>7</v>
      </c>
      <c r="B2088" t="s">
        <v>61</v>
      </c>
      <c r="L2088">
        <v>11.998899183561143</v>
      </c>
    </row>
    <row r="2089" spans="1:12" x14ac:dyDescent="0.35">
      <c r="A2089" t="s">
        <v>7</v>
      </c>
      <c r="B2089" t="s">
        <v>62</v>
      </c>
      <c r="L2089">
        <v>11.558572608017613</v>
      </c>
    </row>
    <row r="2090" spans="1:12" x14ac:dyDescent="0.35">
      <c r="A2090" t="s">
        <v>7</v>
      </c>
      <c r="B2090" t="s">
        <v>63</v>
      </c>
      <c r="L2090">
        <v>11.33840932024585</v>
      </c>
    </row>
    <row r="2091" spans="1:12" x14ac:dyDescent="0.35">
      <c r="A2091" t="s">
        <v>7</v>
      </c>
      <c r="B2091" t="s">
        <v>64</v>
      </c>
      <c r="L2091">
        <v>11.118246032474085</v>
      </c>
    </row>
    <row r="2092" spans="1:12" x14ac:dyDescent="0.35">
      <c r="A2092" t="s">
        <v>7</v>
      </c>
      <c r="B2092" t="s">
        <v>65</v>
      </c>
      <c r="L2092">
        <v>10.788001100816439</v>
      </c>
    </row>
    <row r="2093" spans="1:12" x14ac:dyDescent="0.35">
      <c r="A2093" t="s">
        <v>7</v>
      </c>
      <c r="B2093" t="s">
        <v>66</v>
      </c>
      <c r="L2093">
        <v>10.347674525272913</v>
      </c>
    </row>
    <row r="2094" spans="1:12" x14ac:dyDescent="0.35">
      <c r="A2094" t="s">
        <v>7</v>
      </c>
      <c r="B2094" t="s">
        <v>47</v>
      </c>
      <c r="L2094">
        <v>71.628037491649138</v>
      </c>
    </row>
    <row r="2095" spans="1:12" x14ac:dyDescent="0.35">
      <c r="A2095" t="s">
        <v>8</v>
      </c>
      <c r="B2095" t="s">
        <v>72</v>
      </c>
      <c r="L2095">
        <v>1.6775708773695688</v>
      </c>
    </row>
    <row r="2096" spans="1:12" x14ac:dyDescent="0.35">
      <c r="A2096" t="s">
        <v>8</v>
      </c>
      <c r="B2096" t="s">
        <v>61</v>
      </c>
      <c r="L2096">
        <v>4.571380640832075</v>
      </c>
    </row>
    <row r="2097" spans="1:12" x14ac:dyDescent="0.35">
      <c r="A2097" t="s">
        <v>8</v>
      </c>
      <c r="B2097" t="s">
        <v>62</v>
      </c>
      <c r="L2097">
        <v>4.4036235530951178</v>
      </c>
    </row>
    <row r="2098" spans="1:12" x14ac:dyDescent="0.35">
      <c r="A2098" t="s">
        <v>8</v>
      </c>
      <c r="B2098" t="s">
        <v>63</v>
      </c>
      <c r="L2098">
        <v>4.3197450092266392</v>
      </c>
    </row>
    <row r="2099" spans="1:12" x14ac:dyDescent="0.35">
      <c r="A2099" t="s">
        <v>8</v>
      </c>
      <c r="B2099" t="s">
        <v>64</v>
      </c>
      <c r="L2099">
        <v>4.2358664653581615</v>
      </c>
    </row>
    <row r="2100" spans="1:12" x14ac:dyDescent="0.35">
      <c r="A2100" t="s">
        <v>8</v>
      </c>
      <c r="B2100" t="s">
        <v>65</v>
      </c>
      <c r="L2100">
        <v>4.1100486495554431</v>
      </c>
    </row>
    <row r="2101" spans="1:12" x14ac:dyDescent="0.35">
      <c r="A2101" t="s">
        <v>8</v>
      </c>
      <c r="B2101" t="s">
        <v>66</v>
      </c>
      <c r="L2101">
        <v>3.9422915618184868</v>
      </c>
    </row>
    <row r="2102" spans="1:12" x14ac:dyDescent="0.35">
      <c r="A2102" t="s">
        <v>8</v>
      </c>
      <c r="B2102" t="s">
        <v>47</v>
      </c>
      <c r="L2102">
        <v>27.261827918434495</v>
      </c>
    </row>
    <row r="2103" spans="1:12" x14ac:dyDescent="0.35">
      <c r="A2103" t="s">
        <v>9</v>
      </c>
      <c r="B2103" t="s">
        <v>72</v>
      </c>
      <c r="L2103">
        <v>4.2181818181818178</v>
      </c>
    </row>
    <row r="2104" spans="1:12" x14ac:dyDescent="0.35">
      <c r="A2104" t="s">
        <v>9</v>
      </c>
      <c r="B2104" t="s">
        <v>61</v>
      </c>
      <c r="L2104">
        <v>11.494545454545454</v>
      </c>
    </row>
    <row r="2105" spans="1:12" x14ac:dyDescent="0.35">
      <c r="A2105" t="s">
        <v>9</v>
      </c>
      <c r="B2105" t="s">
        <v>62</v>
      </c>
      <c r="L2105">
        <v>11.072727272727274</v>
      </c>
    </row>
    <row r="2106" spans="1:12" x14ac:dyDescent="0.35">
      <c r="A2106" t="s">
        <v>9</v>
      </c>
      <c r="B2106" t="s">
        <v>63</v>
      </c>
      <c r="L2106">
        <v>10.861818181818181</v>
      </c>
    </row>
    <row r="2107" spans="1:12" x14ac:dyDescent="0.35">
      <c r="A2107" t="s">
        <v>9</v>
      </c>
      <c r="B2107" t="s">
        <v>64</v>
      </c>
      <c r="L2107">
        <v>10.65090909090909</v>
      </c>
    </row>
    <row r="2108" spans="1:12" x14ac:dyDescent="0.35">
      <c r="A2108" t="s">
        <v>9</v>
      </c>
      <c r="B2108" t="s">
        <v>65</v>
      </c>
      <c r="L2108">
        <v>10.334545454545454</v>
      </c>
    </row>
    <row r="2109" spans="1:12" x14ac:dyDescent="0.35">
      <c r="A2109" t="s">
        <v>9</v>
      </c>
      <c r="B2109" t="s">
        <v>66</v>
      </c>
      <c r="L2109">
        <v>9.9127272727272722</v>
      </c>
    </row>
    <row r="2110" spans="1:12" x14ac:dyDescent="0.35">
      <c r="A2110" t="s">
        <v>9</v>
      </c>
      <c r="B2110" t="s">
        <v>47</v>
      </c>
      <c r="L2110">
        <v>67.725298464768144</v>
      </c>
    </row>
    <row r="2111" spans="1:12" x14ac:dyDescent="0.35">
      <c r="A2111" t="s">
        <v>10</v>
      </c>
      <c r="B2111" t="s">
        <v>72</v>
      </c>
      <c r="L2111">
        <v>3.1763026409707353</v>
      </c>
    </row>
    <row r="2112" spans="1:12" x14ac:dyDescent="0.35">
      <c r="A2112" t="s">
        <v>10</v>
      </c>
      <c r="B2112" t="s">
        <v>61</v>
      </c>
      <c r="L2112">
        <v>8.6554246966452517</v>
      </c>
    </row>
    <row r="2113" spans="1:12" x14ac:dyDescent="0.35">
      <c r="A2113" t="s">
        <v>10</v>
      </c>
      <c r="B2113" t="s">
        <v>62</v>
      </c>
      <c r="L2113">
        <v>8.3377944325481792</v>
      </c>
    </row>
    <row r="2114" spans="1:12" x14ac:dyDescent="0.35">
      <c r="A2114" t="s">
        <v>10</v>
      </c>
      <c r="B2114" t="s">
        <v>63</v>
      </c>
      <c r="L2114">
        <v>8.1789793004996429</v>
      </c>
    </row>
    <row r="2115" spans="1:12" x14ac:dyDescent="0.35">
      <c r="A2115" t="s">
        <v>10</v>
      </c>
      <c r="B2115" t="s">
        <v>64</v>
      </c>
      <c r="L2115">
        <v>8.0201641684511067</v>
      </c>
    </row>
    <row r="2116" spans="1:12" x14ac:dyDescent="0.35">
      <c r="A2116" t="s">
        <v>10</v>
      </c>
      <c r="B2116" t="s">
        <v>65</v>
      </c>
      <c r="L2116">
        <v>7.7819414703783014</v>
      </c>
    </row>
    <row r="2117" spans="1:12" x14ac:dyDescent="0.35">
      <c r="A2117" t="s">
        <v>10</v>
      </c>
      <c r="B2117" t="s">
        <v>66</v>
      </c>
      <c r="L2117">
        <v>7.4643112062812271</v>
      </c>
    </row>
    <row r="2118" spans="1:12" x14ac:dyDescent="0.35">
      <c r="A2118" t="s">
        <v>10</v>
      </c>
      <c r="B2118" t="s">
        <v>47</v>
      </c>
      <c r="L2118">
        <v>31.06336758080586</v>
      </c>
    </row>
    <row r="2119" spans="1:12" x14ac:dyDescent="0.35">
      <c r="A2119" t="s">
        <v>11</v>
      </c>
      <c r="B2119" t="s">
        <v>72</v>
      </c>
      <c r="L2119">
        <v>3.2687280003505341</v>
      </c>
    </row>
    <row r="2120" spans="1:12" x14ac:dyDescent="0.35">
      <c r="A2120" t="s">
        <v>11</v>
      </c>
      <c r="B2120" t="s">
        <v>61</v>
      </c>
      <c r="L2120">
        <v>8.9072838009552058</v>
      </c>
    </row>
    <row r="2121" spans="1:12" x14ac:dyDescent="0.35">
      <c r="A2121" t="s">
        <v>11</v>
      </c>
      <c r="B2121" t="s">
        <v>62</v>
      </c>
      <c r="L2121">
        <v>8.5804110009201526</v>
      </c>
    </row>
    <row r="2122" spans="1:12" x14ac:dyDescent="0.35">
      <c r="A2122" t="s">
        <v>11</v>
      </c>
      <c r="B2122" t="s">
        <v>63</v>
      </c>
      <c r="L2122">
        <v>8.4169746009026252</v>
      </c>
    </row>
    <row r="2123" spans="1:12" x14ac:dyDescent="0.35">
      <c r="A2123" t="s">
        <v>11</v>
      </c>
      <c r="B2123" t="s">
        <v>64</v>
      </c>
      <c r="L2123">
        <v>8.2535382008850977</v>
      </c>
    </row>
    <row r="2124" spans="1:12" x14ac:dyDescent="0.35">
      <c r="A2124" t="s">
        <v>11</v>
      </c>
      <c r="B2124" t="s">
        <v>65</v>
      </c>
      <c r="L2124">
        <v>8.0083836008588065</v>
      </c>
    </row>
    <row r="2125" spans="1:12" x14ac:dyDescent="0.35">
      <c r="A2125" t="s">
        <v>11</v>
      </c>
      <c r="B2125" t="s">
        <v>66</v>
      </c>
      <c r="L2125">
        <v>7.6815108008237543</v>
      </c>
    </row>
    <row r="2126" spans="1:12" x14ac:dyDescent="0.35">
      <c r="A2126" t="s">
        <v>11</v>
      </c>
      <c r="B2126" t="s">
        <v>47</v>
      </c>
      <c r="L2126">
        <v>53.141113216069023</v>
      </c>
    </row>
    <row r="2127" spans="1:12" x14ac:dyDescent="0.35">
      <c r="A2127" t="s">
        <v>12</v>
      </c>
      <c r="B2127" t="s">
        <v>72</v>
      </c>
      <c r="L2127">
        <v>1.9603144171779139</v>
      </c>
    </row>
    <row r="2128" spans="1:12" x14ac:dyDescent="0.35">
      <c r="A2128" t="s">
        <v>12</v>
      </c>
      <c r="B2128" t="s">
        <v>61</v>
      </c>
      <c r="L2128">
        <v>5.3418567868098155</v>
      </c>
    </row>
    <row r="2129" spans="1:12" x14ac:dyDescent="0.35">
      <c r="A2129" t="s">
        <v>12</v>
      </c>
      <c r="B2129" t="s">
        <v>62</v>
      </c>
      <c r="L2129">
        <v>5.1458253450920246</v>
      </c>
    </row>
    <row r="2130" spans="1:12" x14ac:dyDescent="0.35">
      <c r="A2130" t="s">
        <v>12</v>
      </c>
      <c r="B2130" t="s">
        <v>63</v>
      </c>
      <c r="L2130">
        <v>5.0478096242331283</v>
      </c>
    </row>
    <row r="2131" spans="1:12" x14ac:dyDescent="0.35">
      <c r="A2131" t="s">
        <v>12</v>
      </c>
      <c r="B2131" t="s">
        <v>64</v>
      </c>
      <c r="L2131">
        <v>4.9497939033742329</v>
      </c>
    </row>
    <row r="2132" spans="1:12" x14ac:dyDescent="0.35">
      <c r="A2132" t="s">
        <v>12</v>
      </c>
      <c r="B2132" t="s">
        <v>65</v>
      </c>
      <c r="L2132">
        <v>4.8027703220858884</v>
      </c>
    </row>
    <row r="2133" spans="1:12" x14ac:dyDescent="0.35">
      <c r="A2133" t="s">
        <v>12</v>
      </c>
      <c r="B2133" t="s">
        <v>66</v>
      </c>
      <c r="L2133">
        <v>4.6067388803680984</v>
      </c>
    </row>
    <row r="2134" spans="1:12" x14ac:dyDescent="0.35">
      <c r="A2134" t="s">
        <v>12</v>
      </c>
      <c r="B2134" t="s">
        <v>47</v>
      </c>
      <c r="L2134">
        <v>31.862143396632298</v>
      </c>
    </row>
    <row r="2135" spans="1:12" x14ac:dyDescent="0.35">
      <c r="A2135" t="s">
        <v>13</v>
      </c>
      <c r="B2135" t="s">
        <v>72</v>
      </c>
      <c r="L2135">
        <v>10.614364003461205</v>
      </c>
    </row>
    <row r="2136" spans="1:12" x14ac:dyDescent="0.35">
      <c r="A2136" t="s">
        <v>13</v>
      </c>
      <c r="B2136" t="s">
        <v>61</v>
      </c>
      <c r="L2136">
        <v>28.924141909431782</v>
      </c>
    </row>
    <row r="2137" spans="1:12" x14ac:dyDescent="0.35">
      <c r="A2137" t="s">
        <v>13</v>
      </c>
      <c r="B2137" t="s">
        <v>62</v>
      </c>
      <c r="L2137">
        <v>27.862705509085668</v>
      </c>
    </row>
    <row r="2138" spans="1:12" x14ac:dyDescent="0.35">
      <c r="A2138" t="s">
        <v>13</v>
      </c>
      <c r="B2138" t="s">
        <v>63</v>
      </c>
      <c r="L2138">
        <v>27.331987308912602</v>
      </c>
    </row>
    <row r="2139" spans="1:12" x14ac:dyDescent="0.35">
      <c r="A2139" t="s">
        <v>13</v>
      </c>
      <c r="B2139" t="s">
        <v>64</v>
      </c>
      <c r="L2139">
        <v>26.801269108739543</v>
      </c>
    </row>
    <row r="2140" spans="1:12" x14ac:dyDescent="0.35">
      <c r="A2140" t="s">
        <v>13</v>
      </c>
      <c r="B2140" t="s">
        <v>65</v>
      </c>
      <c r="L2140">
        <v>26.005191808479957</v>
      </c>
    </row>
    <row r="2141" spans="1:12" x14ac:dyDescent="0.35">
      <c r="A2141" t="s">
        <v>13</v>
      </c>
      <c r="B2141" t="s">
        <v>66</v>
      </c>
      <c r="L2141">
        <v>24.943755408133832</v>
      </c>
    </row>
    <row r="2142" spans="1:12" x14ac:dyDescent="0.35">
      <c r="A2142" t="s">
        <v>13</v>
      </c>
      <c r="B2142" t="s">
        <v>47</v>
      </c>
      <c r="L2142">
        <v>172.42782463882136</v>
      </c>
    </row>
    <row r="2143" spans="1:12" x14ac:dyDescent="0.35">
      <c r="A2143" t="s">
        <v>14</v>
      </c>
      <c r="B2143" t="s">
        <v>72</v>
      </c>
      <c r="L2143">
        <v>9.0349504434011454</v>
      </c>
    </row>
    <row r="2144" spans="1:12" x14ac:dyDescent="0.35">
      <c r="A2144" t="s">
        <v>14</v>
      </c>
      <c r="B2144" t="s">
        <v>61</v>
      </c>
      <c r="L2144">
        <v>24.620239958268122</v>
      </c>
    </row>
    <row r="2145" spans="1:12" x14ac:dyDescent="0.35">
      <c r="A2145" t="s">
        <v>14</v>
      </c>
      <c r="B2145" t="s">
        <v>62</v>
      </c>
      <c r="L2145">
        <v>23.716744913928011</v>
      </c>
    </row>
    <row r="2146" spans="1:12" x14ac:dyDescent="0.35">
      <c r="A2146" t="s">
        <v>14</v>
      </c>
      <c r="B2146" t="s">
        <v>63</v>
      </c>
      <c r="L2146">
        <v>23.264997391757955</v>
      </c>
    </row>
    <row r="2147" spans="1:12" x14ac:dyDescent="0.35">
      <c r="A2147" t="s">
        <v>14</v>
      </c>
      <c r="B2147" t="s">
        <v>64</v>
      </c>
      <c r="L2147">
        <v>22.813249869587899</v>
      </c>
    </row>
    <row r="2148" spans="1:12" x14ac:dyDescent="0.35">
      <c r="A2148" t="s">
        <v>14</v>
      </c>
      <c r="B2148" t="s">
        <v>65</v>
      </c>
      <c r="L2148">
        <v>22.135628586332807</v>
      </c>
    </row>
    <row r="2149" spans="1:12" x14ac:dyDescent="0.35">
      <c r="A2149" t="s">
        <v>14</v>
      </c>
      <c r="B2149" t="s">
        <v>66</v>
      </c>
      <c r="L2149">
        <v>21.232133541992695</v>
      </c>
    </row>
    <row r="2150" spans="1:12" x14ac:dyDescent="0.35">
      <c r="A2150" t="s">
        <v>14</v>
      </c>
      <c r="B2150" t="s">
        <v>47</v>
      </c>
      <c r="L2150">
        <v>146.89453177522421</v>
      </c>
    </row>
    <row r="2151" spans="1:12" x14ac:dyDescent="0.35">
      <c r="A2151" t="s">
        <v>15</v>
      </c>
      <c r="B2151" t="s">
        <v>72</v>
      </c>
      <c r="L2151">
        <v>3.8116591928251125</v>
      </c>
    </row>
    <row r="2152" spans="1:12" x14ac:dyDescent="0.35">
      <c r="A2152" t="s">
        <v>15</v>
      </c>
      <c r="B2152" t="s">
        <v>61</v>
      </c>
      <c r="L2152">
        <v>10.38677130044843</v>
      </c>
    </row>
    <row r="2153" spans="1:12" x14ac:dyDescent="0.35">
      <c r="A2153" t="s">
        <v>15</v>
      </c>
      <c r="B2153" t="s">
        <v>62</v>
      </c>
      <c r="L2153">
        <v>10.005605381165919</v>
      </c>
    </row>
    <row r="2154" spans="1:12" x14ac:dyDescent="0.35">
      <c r="A2154" t="s">
        <v>15</v>
      </c>
      <c r="B2154" t="s">
        <v>63</v>
      </c>
      <c r="L2154">
        <v>9.8150224215246631</v>
      </c>
    </row>
    <row r="2155" spans="1:12" x14ac:dyDescent="0.35">
      <c r="A2155" t="s">
        <v>15</v>
      </c>
      <c r="B2155" t="s">
        <v>64</v>
      </c>
      <c r="L2155">
        <v>9.6244394618834086</v>
      </c>
    </row>
    <row r="2156" spans="1:12" x14ac:dyDescent="0.35">
      <c r="A2156" t="s">
        <v>15</v>
      </c>
      <c r="B2156" t="s">
        <v>65</v>
      </c>
      <c r="L2156">
        <v>9.3385650224215251</v>
      </c>
    </row>
    <row r="2157" spans="1:12" x14ac:dyDescent="0.35">
      <c r="A2157" t="s">
        <v>15</v>
      </c>
      <c r="B2157" t="s">
        <v>66</v>
      </c>
      <c r="L2157">
        <v>8.9573991031390143</v>
      </c>
    </row>
    <row r="2158" spans="1:12" x14ac:dyDescent="0.35">
      <c r="A2158" t="s">
        <v>15</v>
      </c>
      <c r="B2158" t="s">
        <v>47</v>
      </c>
      <c r="L2158">
        <v>61.980588119983487</v>
      </c>
    </row>
    <row r="2159" spans="1:12" x14ac:dyDescent="0.35">
      <c r="A2159" t="s">
        <v>16</v>
      </c>
      <c r="B2159" t="s">
        <v>72</v>
      </c>
      <c r="L2159">
        <v>3.6662088145020442</v>
      </c>
    </row>
    <row r="2160" spans="1:12" x14ac:dyDescent="0.35">
      <c r="A2160" t="s">
        <v>16</v>
      </c>
      <c r="B2160" t="s">
        <v>61</v>
      </c>
      <c r="L2160">
        <v>9.9904190195180682</v>
      </c>
    </row>
    <row r="2161" spans="1:12" x14ac:dyDescent="0.35">
      <c r="A2161" t="s">
        <v>16</v>
      </c>
      <c r="B2161" t="s">
        <v>62</v>
      </c>
      <c r="L2161">
        <v>9.6237981380678637</v>
      </c>
    </row>
    <row r="2162" spans="1:12" x14ac:dyDescent="0.35">
      <c r="A2162" t="s">
        <v>16</v>
      </c>
      <c r="B2162" t="s">
        <v>63</v>
      </c>
      <c r="L2162">
        <v>9.4404876973427623</v>
      </c>
    </row>
    <row r="2163" spans="1:12" x14ac:dyDescent="0.35">
      <c r="A2163" t="s">
        <v>16</v>
      </c>
      <c r="B2163" t="s">
        <v>64</v>
      </c>
      <c r="L2163">
        <v>9.2571772566176591</v>
      </c>
    </row>
    <row r="2164" spans="1:12" x14ac:dyDescent="0.35">
      <c r="A2164" t="s">
        <v>16</v>
      </c>
      <c r="B2164" t="s">
        <v>65</v>
      </c>
      <c r="L2164">
        <v>8.982211595530007</v>
      </c>
    </row>
    <row r="2165" spans="1:12" x14ac:dyDescent="0.35">
      <c r="A2165" t="s">
        <v>16</v>
      </c>
      <c r="B2165" t="s">
        <v>66</v>
      </c>
      <c r="L2165">
        <v>8.6155907140798007</v>
      </c>
    </row>
    <row r="2166" spans="1:12" x14ac:dyDescent="0.35">
      <c r="A2166" t="s">
        <v>16</v>
      </c>
      <c r="B2166" t="s">
        <v>47</v>
      </c>
      <c r="L2166">
        <v>59.554449852020653</v>
      </c>
    </row>
    <row r="2167" spans="1:12" x14ac:dyDescent="0.35">
      <c r="A2167" t="s">
        <v>17</v>
      </c>
      <c r="B2167" t="s">
        <v>72</v>
      </c>
      <c r="L2167">
        <v>7.5733333333333333</v>
      </c>
    </row>
    <row r="2168" spans="1:12" x14ac:dyDescent="0.35">
      <c r="A2168" t="s">
        <v>17</v>
      </c>
      <c r="B2168" t="s">
        <v>61</v>
      </c>
      <c r="L2168">
        <v>20.637333333333334</v>
      </c>
    </row>
    <row r="2169" spans="1:12" x14ac:dyDescent="0.35">
      <c r="A2169" t="s">
        <v>17</v>
      </c>
      <c r="B2169" t="s">
        <v>62</v>
      </c>
      <c r="L2169">
        <v>19.880000000000003</v>
      </c>
    </row>
    <row r="2170" spans="1:12" x14ac:dyDescent="0.35">
      <c r="A2170" t="s">
        <v>17</v>
      </c>
      <c r="B2170" t="s">
        <v>63</v>
      </c>
      <c r="L2170">
        <v>19.501333333333335</v>
      </c>
    </row>
    <row r="2171" spans="1:12" x14ac:dyDescent="0.35">
      <c r="A2171" t="s">
        <v>17</v>
      </c>
      <c r="B2171" t="s">
        <v>64</v>
      </c>
      <c r="L2171">
        <v>19.122666666666667</v>
      </c>
    </row>
    <row r="2172" spans="1:12" x14ac:dyDescent="0.35">
      <c r="A2172" t="s">
        <v>17</v>
      </c>
      <c r="B2172" t="s">
        <v>65</v>
      </c>
      <c r="L2172">
        <v>18.554666666666666</v>
      </c>
    </row>
    <row r="2173" spans="1:12" x14ac:dyDescent="0.35">
      <c r="A2173" t="s">
        <v>17</v>
      </c>
      <c r="B2173" t="s">
        <v>66</v>
      </c>
      <c r="L2173">
        <v>17.797333333333334</v>
      </c>
    </row>
    <row r="2174" spans="1:12" x14ac:dyDescent="0.35">
      <c r="A2174" t="s">
        <v>17</v>
      </c>
      <c r="B2174" t="s">
        <v>47</v>
      </c>
      <c r="L2174">
        <v>123.64707423369713</v>
      </c>
    </row>
    <row r="2175" spans="1:12" x14ac:dyDescent="0.35">
      <c r="A2175" t="s">
        <v>18</v>
      </c>
      <c r="B2175" t="s">
        <v>72</v>
      </c>
      <c r="L2175">
        <v>7.0686070686070694</v>
      </c>
    </row>
    <row r="2176" spans="1:12" x14ac:dyDescent="0.35">
      <c r="A2176" t="s">
        <v>18</v>
      </c>
      <c r="B2176" t="s">
        <v>61</v>
      </c>
      <c r="L2176">
        <v>19.261954261954262</v>
      </c>
    </row>
    <row r="2177" spans="1:12" x14ac:dyDescent="0.35">
      <c r="A2177" t="s">
        <v>18</v>
      </c>
      <c r="B2177" t="s">
        <v>62</v>
      </c>
      <c r="L2177">
        <v>18.555093555093556</v>
      </c>
    </row>
    <row r="2178" spans="1:12" x14ac:dyDescent="0.35">
      <c r="A2178" t="s">
        <v>18</v>
      </c>
      <c r="B2178" t="s">
        <v>63</v>
      </c>
      <c r="L2178">
        <v>18.201663201663202</v>
      </c>
    </row>
    <row r="2179" spans="1:12" x14ac:dyDescent="0.35">
      <c r="A2179" t="s">
        <v>18</v>
      </c>
      <c r="B2179" t="s">
        <v>64</v>
      </c>
      <c r="L2179">
        <v>17.848232848232851</v>
      </c>
    </row>
    <row r="2180" spans="1:12" x14ac:dyDescent="0.35">
      <c r="A2180" t="s">
        <v>18</v>
      </c>
      <c r="B2180" t="s">
        <v>65</v>
      </c>
      <c r="L2180">
        <v>17.318087318087318</v>
      </c>
    </row>
    <row r="2181" spans="1:12" x14ac:dyDescent="0.35">
      <c r="A2181" t="s">
        <v>18</v>
      </c>
      <c r="B2181" t="s">
        <v>66</v>
      </c>
      <c r="L2181">
        <v>16.611226611226613</v>
      </c>
    </row>
    <row r="2182" spans="1:12" x14ac:dyDescent="0.35">
      <c r="A2182" t="s">
        <v>18</v>
      </c>
      <c r="B2182" t="s">
        <v>47</v>
      </c>
      <c r="L2182">
        <v>115.06780436535043</v>
      </c>
    </row>
    <row r="2183" spans="1:12" x14ac:dyDescent="0.35">
      <c r="A2183" t="s">
        <v>19</v>
      </c>
      <c r="B2183" t="s">
        <v>72</v>
      </c>
      <c r="L2183">
        <v>3.02571860816944</v>
      </c>
    </row>
    <row r="2184" spans="1:12" x14ac:dyDescent="0.35">
      <c r="A2184" t="s">
        <v>19</v>
      </c>
      <c r="B2184" t="s">
        <v>61</v>
      </c>
      <c r="L2184">
        <v>8.2450832072617253</v>
      </c>
    </row>
    <row r="2185" spans="1:12" x14ac:dyDescent="0.35">
      <c r="A2185" t="s">
        <v>19</v>
      </c>
      <c r="B2185" t="s">
        <v>62</v>
      </c>
      <c r="L2185">
        <v>7.9425113464447801</v>
      </c>
    </row>
    <row r="2186" spans="1:12" x14ac:dyDescent="0.35">
      <c r="A2186" t="s">
        <v>19</v>
      </c>
      <c r="B2186" t="s">
        <v>63</v>
      </c>
      <c r="L2186">
        <v>7.7912254160363084</v>
      </c>
    </row>
    <row r="2187" spans="1:12" x14ac:dyDescent="0.35">
      <c r="A2187" t="s">
        <v>19</v>
      </c>
      <c r="B2187" t="s">
        <v>64</v>
      </c>
      <c r="L2187">
        <v>7.6399394856278358</v>
      </c>
    </row>
    <row r="2188" spans="1:12" x14ac:dyDescent="0.35">
      <c r="A2188" t="s">
        <v>19</v>
      </c>
      <c r="B2188" t="s">
        <v>65</v>
      </c>
      <c r="L2188">
        <v>7.4130105900151291</v>
      </c>
    </row>
    <row r="2189" spans="1:12" x14ac:dyDescent="0.35">
      <c r="A2189" t="s">
        <v>19</v>
      </c>
      <c r="B2189" t="s">
        <v>66</v>
      </c>
      <c r="L2189">
        <v>7.1104387291981848</v>
      </c>
    </row>
    <row r="2190" spans="1:12" x14ac:dyDescent="0.35">
      <c r="A2190" t="s">
        <v>19</v>
      </c>
      <c r="B2190" t="s">
        <v>47</v>
      </c>
      <c r="L2190">
        <v>50.005680467923241</v>
      </c>
    </row>
    <row r="2191" spans="1:12" x14ac:dyDescent="0.35">
      <c r="A2191" t="s">
        <v>20</v>
      </c>
      <c r="B2191" t="s">
        <v>72</v>
      </c>
      <c r="L2191">
        <v>2.4866785079928952</v>
      </c>
    </row>
    <row r="2192" spans="1:12" x14ac:dyDescent="0.35">
      <c r="A2192" t="s">
        <v>20</v>
      </c>
      <c r="B2192" t="s">
        <v>61</v>
      </c>
      <c r="L2192">
        <v>6.7761989342806404</v>
      </c>
    </row>
    <row r="2193" spans="1:12" x14ac:dyDescent="0.35">
      <c r="A2193" t="s">
        <v>20</v>
      </c>
      <c r="B2193" t="s">
        <v>62</v>
      </c>
      <c r="L2193">
        <v>6.5275310834813505</v>
      </c>
    </row>
    <row r="2194" spans="1:12" x14ac:dyDescent="0.35">
      <c r="A2194" t="s">
        <v>20</v>
      </c>
      <c r="B2194" t="s">
        <v>63</v>
      </c>
      <c r="L2194">
        <v>6.4031971580817055</v>
      </c>
    </row>
    <row r="2195" spans="1:12" x14ac:dyDescent="0.35">
      <c r="A2195" t="s">
        <v>20</v>
      </c>
      <c r="B2195" t="s">
        <v>64</v>
      </c>
      <c r="L2195">
        <v>6.2788632326820615</v>
      </c>
    </row>
    <row r="2196" spans="1:12" x14ac:dyDescent="0.35">
      <c r="A2196" t="s">
        <v>20</v>
      </c>
      <c r="B2196" t="s">
        <v>65</v>
      </c>
      <c r="L2196">
        <v>6.0923623445825932</v>
      </c>
    </row>
    <row r="2197" spans="1:12" x14ac:dyDescent="0.35">
      <c r="A2197" t="s">
        <v>20</v>
      </c>
      <c r="B2197" t="s">
        <v>66</v>
      </c>
      <c r="L2197">
        <v>5.8436944937833042</v>
      </c>
    </row>
    <row r="2198" spans="1:12" x14ac:dyDescent="0.35">
      <c r="A2198" t="s">
        <v>20</v>
      </c>
      <c r="B2198" t="s">
        <v>47</v>
      </c>
      <c r="L2198">
        <v>40.40852575488455</v>
      </c>
    </row>
    <row r="2199" spans="1:12" x14ac:dyDescent="0.35">
      <c r="A2199" t="s">
        <v>21</v>
      </c>
      <c r="B2199" t="s">
        <v>72</v>
      </c>
      <c r="L2199">
        <v>1.237251295769938</v>
      </c>
    </row>
    <row r="2200" spans="1:12" x14ac:dyDescent="0.35">
      <c r="A2200" t="s">
        <v>21</v>
      </c>
      <c r="B2200" t="s">
        <v>61</v>
      </c>
      <c r="L2200">
        <v>3.3715097809730814</v>
      </c>
    </row>
    <row r="2201" spans="1:12" x14ac:dyDescent="0.35">
      <c r="A2201" t="s">
        <v>21</v>
      </c>
      <c r="B2201" t="s">
        <v>62</v>
      </c>
      <c r="L2201">
        <v>3.2477846513960875</v>
      </c>
    </row>
    <row r="2202" spans="1:12" x14ac:dyDescent="0.35">
      <c r="A2202" t="s">
        <v>21</v>
      </c>
      <c r="B2202" t="s">
        <v>63</v>
      </c>
      <c r="L2202">
        <v>3.1859220866075906</v>
      </c>
    </row>
    <row r="2203" spans="1:12" x14ac:dyDescent="0.35">
      <c r="A2203" t="s">
        <v>21</v>
      </c>
      <c r="B2203" t="s">
        <v>64</v>
      </c>
      <c r="L2203">
        <v>3.1240595218190932</v>
      </c>
    </row>
    <row r="2204" spans="1:12" x14ac:dyDescent="0.35">
      <c r="A2204" t="s">
        <v>21</v>
      </c>
      <c r="B2204" t="s">
        <v>65</v>
      </c>
      <c r="L2204">
        <v>3.0312656746363484</v>
      </c>
    </row>
    <row r="2205" spans="1:12" x14ac:dyDescent="0.35">
      <c r="A2205" t="s">
        <v>21</v>
      </c>
      <c r="B2205" t="s">
        <v>66</v>
      </c>
      <c r="L2205">
        <v>2.9075405450593546</v>
      </c>
    </row>
    <row r="2206" spans="1:12" x14ac:dyDescent="0.35">
      <c r="A2206" t="s">
        <v>21</v>
      </c>
      <c r="B2206" t="s">
        <v>47</v>
      </c>
      <c r="L2206">
        <v>20.077947527533418</v>
      </c>
    </row>
    <row r="2207" spans="1:12" x14ac:dyDescent="0.35">
      <c r="A2207" t="s">
        <v>22</v>
      </c>
      <c r="B2207" t="s">
        <v>72</v>
      </c>
      <c r="L2207">
        <v>9.6119712733131255</v>
      </c>
    </row>
    <row r="2208" spans="1:12" x14ac:dyDescent="0.35">
      <c r="A2208" t="s">
        <v>22</v>
      </c>
      <c r="B2208" t="s">
        <v>61</v>
      </c>
      <c r="L2208">
        <v>26.192621719778263</v>
      </c>
    </row>
    <row r="2209" spans="1:12" x14ac:dyDescent="0.35">
      <c r="A2209" t="s">
        <v>22</v>
      </c>
      <c r="B2209" t="s">
        <v>62</v>
      </c>
      <c r="L2209">
        <v>25.231424592446956</v>
      </c>
    </row>
    <row r="2210" spans="1:12" x14ac:dyDescent="0.35">
      <c r="A2210" t="s">
        <v>22</v>
      </c>
      <c r="B2210" t="s">
        <v>63</v>
      </c>
      <c r="L2210">
        <v>24.750826028781297</v>
      </c>
    </row>
    <row r="2211" spans="1:12" x14ac:dyDescent="0.35">
      <c r="A2211" t="s">
        <v>22</v>
      </c>
      <c r="B2211" t="s">
        <v>64</v>
      </c>
      <c r="L2211">
        <v>24.270227465115642</v>
      </c>
    </row>
    <row r="2212" spans="1:12" x14ac:dyDescent="0.35">
      <c r="A2212" t="s">
        <v>22</v>
      </c>
      <c r="B2212" t="s">
        <v>65</v>
      </c>
      <c r="L2212">
        <v>23.549329619617154</v>
      </c>
    </row>
    <row r="2213" spans="1:12" x14ac:dyDescent="0.35">
      <c r="A2213" t="s">
        <v>22</v>
      </c>
      <c r="B2213" t="s">
        <v>66</v>
      </c>
      <c r="L2213">
        <v>22.58813249228584</v>
      </c>
    </row>
    <row r="2214" spans="1:12" x14ac:dyDescent="0.35">
      <c r="A2214" t="s">
        <v>22</v>
      </c>
      <c r="B2214" t="s">
        <v>47</v>
      </c>
      <c r="L2214">
        <v>156.18124089518346</v>
      </c>
    </row>
    <row r="2215" spans="1:12" x14ac:dyDescent="0.35">
      <c r="A2215" t="s">
        <v>23</v>
      </c>
      <c r="B2215" t="s">
        <v>72</v>
      </c>
      <c r="L2215">
        <v>3.5338345864661656</v>
      </c>
    </row>
    <row r="2216" spans="1:12" x14ac:dyDescent="0.35">
      <c r="A2216" t="s">
        <v>23</v>
      </c>
      <c r="B2216" t="s">
        <v>61</v>
      </c>
      <c r="L2216">
        <v>9.6296992481203016</v>
      </c>
    </row>
    <row r="2217" spans="1:12" x14ac:dyDescent="0.35">
      <c r="A2217" t="s">
        <v>23</v>
      </c>
      <c r="B2217" t="s">
        <v>62</v>
      </c>
      <c r="L2217">
        <v>9.2763157894736832</v>
      </c>
    </row>
    <row r="2218" spans="1:12" x14ac:dyDescent="0.35">
      <c r="A2218" t="s">
        <v>23</v>
      </c>
      <c r="B2218" t="s">
        <v>63</v>
      </c>
      <c r="L2218">
        <v>9.0996240601503739</v>
      </c>
    </row>
    <row r="2219" spans="1:12" x14ac:dyDescent="0.35">
      <c r="A2219" t="s">
        <v>23</v>
      </c>
      <c r="B2219" t="s">
        <v>64</v>
      </c>
      <c r="L2219">
        <v>8.9229323308270665</v>
      </c>
    </row>
    <row r="2220" spans="1:12" x14ac:dyDescent="0.35">
      <c r="A2220" t="s">
        <v>23</v>
      </c>
      <c r="B2220" t="s">
        <v>65</v>
      </c>
      <c r="L2220">
        <v>8.6578947368421044</v>
      </c>
    </row>
    <row r="2221" spans="1:12" x14ac:dyDescent="0.35">
      <c r="A2221" t="s">
        <v>23</v>
      </c>
      <c r="B2221" t="s">
        <v>66</v>
      </c>
      <c r="L2221">
        <v>8.3045112781954877</v>
      </c>
    </row>
    <row r="2222" spans="1:12" x14ac:dyDescent="0.35">
      <c r="A2222" t="s">
        <v>23</v>
      </c>
      <c r="B2222" t="s">
        <v>47</v>
      </c>
      <c r="L2222">
        <v>57.479042168147103</v>
      </c>
    </row>
    <row r="2223" spans="1:12" x14ac:dyDescent="0.35">
      <c r="A2223" t="s">
        <v>24</v>
      </c>
      <c r="B2223" t="s">
        <v>72</v>
      </c>
      <c r="L2223">
        <v>9.7021187329557375</v>
      </c>
    </row>
    <row r="2224" spans="1:12" x14ac:dyDescent="0.35">
      <c r="A2224" t="s">
        <v>24</v>
      </c>
      <c r="B2224" t="s">
        <v>61</v>
      </c>
      <c r="L2224">
        <v>26.438273547304384</v>
      </c>
    </row>
    <row r="2225" spans="1:12" x14ac:dyDescent="0.35">
      <c r="A2225" t="s">
        <v>24</v>
      </c>
      <c r="B2225" t="s">
        <v>62</v>
      </c>
      <c r="L2225">
        <v>25.468061674008808</v>
      </c>
    </row>
    <row r="2226" spans="1:12" x14ac:dyDescent="0.35">
      <c r="A2226" t="s">
        <v>24</v>
      </c>
      <c r="B2226" t="s">
        <v>63</v>
      </c>
      <c r="L2226">
        <v>24.982955737361021</v>
      </c>
    </row>
    <row r="2227" spans="1:12" x14ac:dyDescent="0.35">
      <c r="A2227" t="s">
        <v>24</v>
      </c>
      <c r="B2227" t="s">
        <v>64</v>
      </c>
      <c r="L2227">
        <v>24.497849800713237</v>
      </c>
    </row>
    <row r="2228" spans="1:12" x14ac:dyDescent="0.35">
      <c r="A2228" t="s">
        <v>24</v>
      </c>
      <c r="B2228" t="s">
        <v>65</v>
      </c>
      <c r="L2228">
        <v>23.770190895741553</v>
      </c>
    </row>
    <row r="2229" spans="1:12" x14ac:dyDescent="0.35">
      <c r="A2229" t="s">
        <v>24</v>
      </c>
      <c r="B2229" t="s">
        <v>66</v>
      </c>
      <c r="L2229">
        <v>22.799979022445982</v>
      </c>
    </row>
    <row r="2230" spans="1:12" x14ac:dyDescent="0.35">
      <c r="A2230" t="s">
        <v>24</v>
      </c>
      <c r="B2230" t="s">
        <v>47</v>
      </c>
      <c r="L2230">
        <v>157.66407828031072</v>
      </c>
    </row>
    <row r="2231" spans="1:12" x14ac:dyDescent="0.35">
      <c r="A2231" t="s">
        <v>25</v>
      </c>
      <c r="B2231" t="s">
        <v>72</v>
      </c>
      <c r="L2231">
        <v>8.6635944700460836</v>
      </c>
    </row>
    <row r="2232" spans="1:12" x14ac:dyDescent="0.35">
      <c r="A2232" t="s">
        <v>25</v>
      </c>
      <c r="B2232" t="s">
        <v>61</v>
      </c>
      <c r="L2232">
        <v>23.608294930875573</v>
      </c>
    </row>
    <row r="2233" spans="1:12" x14ac:dyDescent="0.35">
      <c r="A2233" t="s">
        <v>25</v>
      </c>
      <c r="B2233" t="s">
        <v>62</v>
      </c>
      <c r="L2233">
        <v>22.741935483870968</v>
      </c>
    </row>
    <row r="2234" spans="1:12" x14ac:dyDescent="0.35">
      <c r="A2234" t="s">
        <v>25</v>
      </c>
      <c r="B2234" t="s">
        <v>63</v>
      </c>
      <c r="L2234">
        <v>22.308755760368665</v>
      </c>
    </row>
    <row r="2235" spans="1:12" x14ac:dyDescent="0.35">
      <c r="A2235" t="s">
        <v>25</v>
      </c>
      <c r="B2235" t="s">
        <v>64</v>
      </c>
      <c r="L2235">
        <v>21.875576036866356</v>
      </c>
    </row>
    <row r="2236" spans="1:12" x14ac:dyDescent="0.35">
      <c r="A2236" t="s">
        <v>25</v>
      </c>
      <c r="B2236" t="s">
        <v>65</v>
      </c>
      <c r="L2236">
        <v>21.225806451612904</v>
      </c>
    </row>
    <row r="2237" spans="1:12" x14ac:dyDescent="0.35">
      <c r="A2237" t="s">
        <v>25</v>
      </c>
      <c r="B2237" t="s">
        <v>66</v>
      </c>
      <c r="L2237">
        <v>20.359447004608299</v>
      </c>
    </row>
    <row r="2238" spans="1:12" x14ac:dyDescent="0.35">
      <c r="A2238" t="s">
        <v>25</v>
      </c>
      <c r="B2238" t="s">
        <v>47</v>
      </c>
      <c r="L2238">
        <v>141.06479948121074</v>
      </c>
    </row>
    <row r="2239" spans="1:12" x14ac:dyDescent="0.35">
      <c r="A2239" t="s">
        <v>26</v>
      </c>
      <c r="B2239" t="s">
        <v>72</v>
      </c>
      <c r="L2239">
        <v>5.1789077212806021</v>
      </c>
    </row>
    <row r="2240" spans="1:12" x14ac:dyDescent="0.35">
      <c r="A2240" t="s">
        <v>26</v>
      </c>
      <c r="B2240" t="s">
        <v>61</v>
      </c>
      <c r="L2240">
        <v>14.112523540489638</v>
      </c>
    </row>
    <row r="2241" spans="1:12" x14ac:dyDescent="0.35">
      <c r="A2241" t="s">
        <v>26</v>
      </c>
      <c r="B2241" t="s">
        <v>62</v>
      </c>
      <c r="L2241">
        <v>13.594632768361581</v>
      </c>
    </row>
    <row r="2242" spans="1:12" x14ac:dyDescent="0.35">
      <c r="A2242" t="s">
        <v>26</v>
      </c>
      <c r="B2242" t="s">
        <v>63</v>
      </c>
      <c r="L2242">
        <v>13.33568738229755</v>
      </c>
    </row>
    <row r="2243" spans="1:12" x14ac:dyDescent="0.35">
      <c r="A2243" t="s">
        <v>26</v>
      </c>
      <c r="B2243" t="s">
        <v>64</v>
      </c>
      <c r="L2243">
        <v>13.076741996233521</v>
      </c>
    </row>
    <row r="2244" spans="1:12" x14ac:dyDescent="0.35">
      <c r="A2244" t="s">
        <v>26</v>
      </c>
      <c r="B2244" t="s">
        <v>65</v>
      </c>
      <c r="L2244">
        <v>12.688323917137474</v>
      </c>
    </row>
    <row r="2245" spans="1:12" x14ac:dyDescent="0.35">
      <c r="A2245" t="s">
        <v>26</v>
      </c>
      <c r="B2245" t="s">
        <v>66</v>
      </c>
      <c r="L2245">
        <v>12.170433145009413</v>
      </c>
    </row>
    <row r="2246" spans="1:12" x14ac:dyDescent="0.35">
      <c r="A2246" t="s">
        <v>26</v>
      </c>
      <c r="B2246" t="s">
        <v>47</v>
      </c>
      <c r="L2246">
        <v>84.215274843098612</v>
      </c>
    </row>
    <row r="2247" spans="1:12" x14ac:dyDescent="0.35">
      <c r="A2247" t="s">
        <v>27</v>
      </c>
      <c r="B2247" t="s">
        <v>72</v>
      </c>
      <c r="L2247">
        <v>4.3274372686137399</v>
      </c>
    </row>
    <row r="2248" spans="1:12" x14ac:dyDescent="0.35">
      <c r="A2248" t="s">
        <v>27</v>
      </c>
      <c r="B2248" t="s">
        <v>61</v>
      </c>
      <c r="L2248">
        <v>11.792266556972441</v>
      </c>
    </row>
    <row r="2249" spans="1:12" x14ac:dyDescent="0.35">
      <c r="A2249" t="s">
        <v>27</v>
      </c>
      <c r="B2249" t="s">
        <v>62</v>
      </c>
      <c r="L2249">
        <v>11.359522830111064</v>
      </c>
    </row>
    <row r="2250" spans="1:12" x14ac:dyDescent="0.35">
      <c r="A2250" t="s">
        <v>27</v>
      </c>
      <c r="B2250" t="s">
        <v>63</v>
      </c>
      <c r="L2250">
        <v>11.143150966680379</v>
      </c>
    </row>
    <row r="2251" spans="1:12" x14ac:dyDescent="0.35">
      <c r="A2251" t="s">
        <v>27</v>
      </c>
      <c r="B2251" t="s">
        <v>64</v>
      </c>
      <c r="L2251">
        <v>10.926779103249691</v>
      </c>
    </row>
    <row r="2252" spans="1:12" x14ac:dyDescent="0.35">
      <c r="A2252" t="s">
        <v>27</v>
      </c>
      <c r="B2252" t="s">
        <v>65</v>
      </c>
      <c r="L2252">
        <v>10.602221308103662</v>
      </c>
    </row>
    <row r="2253" spans="1:12" x14ac:dyDescent="0.35">
      <c r="A2253" t="s">
        <v>27</v>
      </c>
      <c r="B2253" t="s">
        <v>66</v>
      </c>
      <c r="L2253">
        <v>10.169477581242287</v>
      </c>
    </row>
    <row r="2254" spans="1:12" x14ac:dyDescent="0.35">
      <c r="A2254" t="s">
        <v>27</v>
      </c>
      <c r="B2254" t="s">
        <v>47</v>
      </c>
      <c r="L2254">
        <v>70.318640792050374</v>
      </c>
    </row>
    <row r="2255" spans="1:12" x14ac:dyDescent="0.35">
      <c r="A2255" t="s">
        <v>28</v>
      </c>
      <c r="B2255" t="s">
        <v>72</v>
      </c>
      <c r="L2255">
        <v>1.1751326762699017</v>
      </c>
    </row>
    <row r="2256" spans="1:12" x14ac:dyDescent="0.35">
      <c r="A2256" t="s">
        <v>28</v>
      </c>
      <c r="B2256" t="s">
        <v>61</v>
      </c>
      <c r="L2256">
        <v>3.2022365428354815</v>
      </c>
    </row>
    <row r="2257" spans="1:13" x14ac:dyDescent="0.35">
      <c r="A2257" t="s">
        <v>28</v>
      </c>
      <c r="B2257" t="s">
        <v>62</v>
      </c>
      <c r="L2257">
        <v>3.084723275208491</v>
      </c>
    </row>
    <row r="2258" spans="1:13" x14ac:dyDescent="0.35">
      <c r="A2258" t="s">
        <v>28</v>
      </c>
      <c r="B2258" t="s">
        <v>63</v>
      </c>
      <c r="L2258">
        <v>3.0259666413949962</v>
      </c>
    </row>
    <row r="2259" spans="1:13" x14ac:dyDescent="0.35">
      <c r="A2259" t="s">
        <v>28</v>
      </c>
      <c r="B2259" t="s">
        <v>64</v>
      </c>
      <c r="L2259">
        <v>2.9672100075815009</v>
      </c>
    </row>
    <row r="2260" spans="1:13" x14ac:dyDescent="0.35">
      <c r="A2260" t="s">
        <v>28</v>
      </c>
      <c r="B2260" t="s">
        <v>65</v>
      </c>
      <c r="L2260">
        <v>2.8790750568612591</v>
      </c>
    </row>
    <row r="2261" spans="1:13" x14ac:dyDescent="0.35">
      <c r="A2261" t="s">
        <v>28</v>
      </c>
      <c r="B2261" t="s">
        <v>66</v>
      </c>
      <c r="L2261">
        <v>2.7615617892342685</v>
      </c>
    </row>
    <row r="2262" spans="1:13" x14ac:dyDescent="0.35">
      <c r="A2262" t="s">
        <v>28</v>
      </c>
      <c r="B2262" t="s">
        <v>47</v>
      </c>
      <c r="L2262">
        <v>18.973475693725621</v>
      </c>
    </row>
    <row r="2263" spans="1:13" x14ac:dyDescent="0.35">
      <c r="A2263" t="s">
        <v>29</v>
      </c>
      <c r="B2263" t="s">
        <v>72</v>
      </c>
      <c r="L2263">
        <v>4.4665133908599843</v>
      </c>
    </row>
    <row r="2264" spans="1:13" x14ac:dyDescent="0.35">
      <c r="A2264" t="s">
        <v>29</v>
      </c>
      <c r="B2264" t="s">
        <v>61</v>
      </c>
      <c r="L2264">
        <v>12.171248990093456</v>
      </c>
    </row>
    <row r="2265" spans="1:13" x14ac:dyDescent="0.35">
      <c r="A2265" t="s">
        <v>29</v>
      </c>
      <c r="B2265" t="s">
        <v>62</v>
      </c>
      <c r="L2265">
        <v>11.724597651007459</v>
      </c>
    </row>
    <row r="2266" spans="1:13" x14ac:dyDescent="0.35">
      <c r="A2266" t="s">
        <v>29</v>
      </c>
      <c r="B2266" t="s">
        <v>63</v>
      </c>
      <c r="L2266">
        <v>11.501271981464459</v>
      </c>
    </row>
    <row r="2267" spans="1:13" x14ac:dyDescent="0.35">
      <c r="A2267" t="s">
        <v>29</v>
      </c>
      <c r="B2267" t="s">
        <v>64</v>
      </c>
      <c r="L2267">
        <v>11.277946311921463</v>
      </c>
    </row>
    <row r="2268" spans="1:13" x14ac:dyDescent="0.35">
      <c r="A2268" t="s">
        <v>29</v>
      </c>
      <c r="B2268" t="s">
        <v>65</v>
      </c>
      <c r="L2268">
        <v>10.942957807606957</v>
      </c>
    </row>
    <row r="2269" spans="1:13" x14ac:dyDescent="0.35">
      <c r="A2269" t="s">
        <v>29</v>
      </c>
      <c r="B2269" t="s">
        <v>66</v>
      </c>
      <c r="L2269">
        <v>10.496306468520961</v>
      </c>
    </row>
    <row r="2270" spans="1:13" x14ac:dyDescent="0.35">
      <c r="A2270" t="s">
        <v>29</v>
      </c>
      <c r="B2270" t="s">
        <v>47</v>
      </c>
      <c r="L2270">
        <v>72.334903928119118</v>
      </c>
    </row>
    <row r="2271" spans="1:13" x14ac:dyDescent="0.35">
      <c r="A2271" t="s">
        <v>2</v>
      </c>
      <c r="B2271" t="s">
        <v>72</v>
      </c>
      <c r="M2271">
        <v>3.8873116400960912</v>
      </c>
    </row>
    <row r="2272" spans="1:13" x14ac:dyDescent="0.35">
      <c r="A2272" t="s">
        <v>2</v>
      </c>
      <c r="B2272" t="s">
        <v>61</v>
      </c>
      <c r="M2272">
        <v>10.592924219261848</v>
      </c>
    </row>
    <row r="2273" spans="1:13" x14ac:dyDescent="0.35">
      <c r="A2273" t="s">
        <v>2</v>
      </c>
      <c r="B2273" t="s">
        <v>62</v>
      </c>
      <c r="M2273">
        <v>10.20419305525224</v>
      </c>
    </row>
    <row r="2274" spans="1:13" x14ac:dyDescent="0.35">
      <c r="A2274" t="s">
        <v>2</v>
      </c>
      <c r="B2274" t="s">
        <v>63</v>
      </c>
      <c r="M2274">
        <v>10.009827473247435</v>
      </c>
    </row>
    <row r="2275" spans="1:13" x14ac:dyDescent="0.35">
      <c r="A2275" t="s">
        <v>2</v>
      </c>
      <c r="B2275" t="s">
        <v>64</v>
      </c>
      <c r="M2275">
        <v>9.8154618912426308</v>
      </c>
    </row>
    <row r="2276" spans="1:13" x14ac:dyDescent="0.35">
      <c r="A2276" t="s">
        <v>2</v>
      </c>
      <c r="B2276" t="s">
        <v>65</v>
      </c>
      <c r="M2276">
        <v>9.5239135182354229</v>
      </c>
    </row>
    <row r="2277" spans="1:13" x14ac:dyDescent="0.35">
      <c r="A2277" t="s">
        <v>2</v>
      </c>
      <c r="B2277" t="s">
        <v>66</v>
      </c>
      <c r="M2277">
        <v>9.1351823542258135</v>
      </c>
    </row>
    <row r="2278" spans="1:13" x14ac:dyDescent="0.35">
      <c r="A2278" t="s">
        <v>2</v>
      </c>
      <c r="B2278" t="s">
        <v>47</v>
      </c>
      <c r="M2278">
        <v>63.22114580337356</v>
      </c>
    </row>
    <row r="2279" spans="1:13" x14ac:dyDescent="0.35">
      <c r="A2279" t="s">
        <v>3</v>
      </c>
      <c r="B2279" t="s">
        <v>72</v>
      </c>
      <c r="M2279">
        <v>8.6316323940086317</v>
      </c>
    </row>
    <row r="2280" spans="1:13" x14ac:dyDescent="0.35">
      <c r="A2280" t="s">
        <v>3</v>
      </c>
      <c r="B2280" t="s">
        <v>61</v>
      </c>
      <c r="M2280">
        <v>23.521198273673519</v>
      </c>
    </row>
    <row r="2281" spans="1:13" x14ac:dyDescent="0.35">
      <c r="A2281" t="s">
        <v>3</v>
      </c>
      <c r="B2281" t="s">
        <v>62</v>
      </c>
      <c r="M2281">
        <v>22.658035034272658</v>
      </c>
    </row>
    <row r="2282" spans="1:13" x14ac:dyDescent="0.35">
      <c r="A2282" t="s">
        <v>3</v>
      </c>
      <c r="B2282" t="s">
        <v>63</v>
      </c>
      <c r="M2282">
        <v>22.226453414572223</v>
      </c>
    </row>
    <row r="2283" spans="1:13" x14ac:dyDescent="0.35">
      <c r="A2283" t="s">
        <v>3</v>
      </c>
      <c r="B2283" t="s">
        <v>64</v>
      </c>
      <c r="M2283">
        <v>21.794871794871796</v>
      </c>
    </row>
    <row r="2284" spans="1:13" x14ac:dyDescent="0.35">
      <c r="A2284" t="s">
        <v>3</v>
      </c>
      <c r="B2284" t="s">
        <v>65</v>
      </c>
      <c r="M2284">
        <v>21.147499365321146</v>
      </c>
    </row>
    <row r="2285" spans="1:13" x14ac:dyDescent="0.35">
      <c r="A2285" t="s">
        <v>3</v>
      </c>
      <c r="B2285" t="s">
        <v>66</v>
      </c>
      <c r="M2285">
        <v>20.284336125920284</v>
      </c>
    </row>
    <row r="2286" spans="1:13" x14ac:dyDescent="0.35">
      <c r="A2286" t="s">
        <v>3</v>
      </c>
      <c r="B2286" t="s">
        <v>47</v>
      </c>
      <c r="M2286">
        <v>140.4527271168086</v>
      </c>
    </row>
    <row r="2287" spans="1:13" x14ac:dyDescent="0.35">
      <c r="A2287" t="s">
        <v>4</v>
      </c>
      <c r="B2287" t="s">
        <v>72</v>
      </c>
      <c r="M2287">
        <v>23.894491854150502</v>
      </c>
    </row>
    <row r="2288" spans="1:13" x14ac:dyDescent="0.35">
      <c r="A2288" t="s">
        <v>4</v>
      </c>
      <c r="B2288" t="s">
        <v>61</v>
      </c>
      <c r="M2288">
        <v>65.112490302560118</v>
      </c>
    </row>
    <row r="2289" spans="1:13" x14ac:dyDescent="0.35">
      <c r="A2289" t="s">
        <v>4</v>
      </c>
      <c r="B2289" t="s">
        <v>62</v>
      </c>
      <c r="M2289">
        <v>62.723041117145073</v>
      </c>
    </row>
    <row r="2290" spans="1:13" x14ac:dyDescent="0.35">
      <c r="A2290" t="s">
        <v>4</v>
      </c>
      <c r="B2290" t="s">
        <v>63</v>
      </c>
      <c r="M2290">
        <v>61.52831652443755</v>
      </c>
    </row>
    <row r="2291" spans="1:13" x14ac:dyDescent="0.35">
      <c r="A2291" t="s">
        <v>4</v>
      </c>
      <c r="B2291" t="s">
        <v>64</v>
      </c>
      <c r="M2291">
        <v>60.333591931730027</v>
      </c>
    </row>
    <row r="2292" spans="1:13" x14ac:dyDescent="0.35">
      <c r="A2292" t="s">
        <v>4</v>
      </c>
      <c r="B2292" t="s">
        <v>65</v>
      </c>
      <c r="M2292">
        <v>58.541505042668732</v>
      </c>
    </row>
    <row r="2293" spans="1:13" x14ac:dyDescent="0.35">
      <c r="A2293" t="s">
        <v>4</v>
      </c>
      <c r="B2293" t="s">
        <v>66</v>
      </c>
      <c r="M2293">
        <v>56.152055857253679</v>
      </c>
    </row>
    <row r="2294" spans="1:13" x14ac:dyDescent="0.35">
      <c r="A2294" t="s">
        <v>4</v>
      </c>
      <c r="B2294" t="s">
        <v>47</v>
      </c>
      <c r="M2294">
        <v>387.81850741785871</v>
      </c>
    </row>
    <row r="2295" spans="1:13" x14ac:dyDescent="0.35">
      <c r="A2295" t="s">
        <v>5</v>
      </c>
      <c r="B2295" t="s">
        <v>72</v>
      </c>
      <c r="M2295">
        <v>20.093215950284829</v>
      </c>
    </row>
    <row r="2296" spans="1:13" x14ac:dyDescent="0.35">
      <c r="A2296" t="s">
        <v>5</v>
      </c>
      <c r="B2296" t="s">
        <v>61</v>
      </c>
      <c r="M2296">
        <v>54.754013464526146</v>
      </c>
    </row>
    <row r="2297" spans="1:13" x14ac:dyDescent="0.35">
      <c r="A2297" t="s">
        <v>5</v>
      </c>
      <c r="B2297" t="s">
        <v>62</v>
      </c>
      <c r="M2297">
        <v>52.744691869497672</v>
      </c>
    </row>
    <row r="2298" spans="1:13" x14ac:dyDescent="0.35">
      <c r="A2298" t="s">
        <v>5</v>
      </c>
      <c r="B2298" t="s">
        <v>63</v>
      </c>
      <c r="M2298">
        <v>51.740031071983424</v>
      </c>
    </row>
    <row r="2299" spans="1:13" x14ac:dyDescent="0.35">
      <c r="A2299" t="s">
        <v>5</v>
      </c>
      <c r="B2299" t="s">
        <v>64</v>
      </c>
      <c r="M2299">
        <v>50.735370274469183</v>
      </c>
    </row>
    <row r="2300" spans="1:13" x14ac:dyDescent="0.35">
      <c r="A2300" t="s">
        <v>5</v>
      </c>
      <c r="B2300" t="s">
        <v>65</v>
      </c>
      <c r="M2300">
        <v>49.228379078197825</v>
      </c>
    </row>
    <row r="2301" spans="1:13" x14ac:dyDescent="0.35">
      <c r="A2301" t="s">
        <v>5</v>
      </c>
      <c r="B2301" t="s">
        <v>66</v>
      </c>
      <c r="M2301">
        <v>47.219057483169344</v>
      </c>
    </row>
    <row r="2302" spans="1:13" x14ac:dyDescent="0.35">
      <c r="A2302" t="s">
        <v>5</v>
      </c>
      <c r="B2302" t="s">
        <v>47</v>
      </c>
      <c r="M2302">
        <v>327.05124262676577</v>
      </c>
    </row>
    <row r="2303" spans="1:13" x14ac:dyDescent="0.35">
      <c r="A2303" t="s">
        <v>6</v>
      </c>
      <c r="B2303" t="s">
        <v>72</v>
      </c>
      <c r="M2303">
        <v>8.2815734989648035</v>
      </c>
    </row>
    <row r="2304" spans="1:13" x14ac:dyDescent="0.35">
      <c r="A2304" t="s">
        <v>6</v>
      </c>
      <c r="B2304" t="s">
        <v>61</v>
      </c>
      <c r="M2304">
        <v>22.567287784679092</v>
      </c>
    </row>
    <row r="2305" spans="1:13" x14ac:dyDescent="0.35">
      <c r="A2305" t="s">
        <v>6</v>
      </c>
      <c r="B2305" t="s">
        <v>62</v>
      </c>
      <c r="M2305">
        <v>21.739130434782609</v>
      </c>
    </row>
    <row r="2306" spans="1:13" x14ac:dyDescent="0.35">
      <c r="A2306" t="s">
        <v>6</v>
      </c>
      <c r="B2306" t="s">
        <v>63</v>
      </c>
      <c r="M2306">
        <v>21.32505175983437</v>
      </c>
    </row>
    <row r="2307" spans="1:13" x14ac:dyDescent="0.35">
      <c r="A2307" t="s">
        <v>6</v>
      </c>
      <c r="B2307" t="s">
        <v>64</v>
      </c>
      <c r="M2307">
        <v>20.910973084886127</v>
      </c>
    </row>
    <row r="2308" spans="1:13" x14ac:dyDescent="0.35">
      <c r="A2308" t="s">
        <v>6</v>
      </c>
      <c r="B2308" t="s">
        <v>65</v>
      </c>
      <c r="M2308">
        <v>20.289855072463769</v>
      </c>
    </row>
    <row r="2309" spans="1:13" x14ac:dyDescent="0.35">
      <c r="A2309" t="s">
        <v>6</v>
      </c>
      <c r="B2309" t="s">
        <v>66</v>
      </c>
      <c r="M2309">
        <v>19.46169772256729</v>
      </c>
    </row>
    <row r="2310" spans="1:13" x14ac:dyDescent="0.35">
      <c r="A2310" t="s">
        <v>6</v>
      </c>
      <c r="B2310" t="s">
        <v>47</v>
      </c>
      <c r="M2310">
        <v>135.737999307921</v>
      </c>
    </row>
    <row r="2311" spans="1:13" x14ac:dyDescent="0.35">
      <c r="A2311" t="s">
        <v>7</v>
      </c>
      <c r="B2311" t="s">
        <v>72</v>
      </c>
      <c r="M2311">
        <v>8.8065315108705633</v>
      </c>
    </row>
    <row r="2312" spans="1:13" x14ac:dyDescent="0.35">
      <c r="A2312" t="s">
        <v>7</v>
      </c>
      <c r="B2312" t="s">
        <v>61</v>
      </c>
      <c r="M2312">
        <v>23.997798367122286</v>
      </c>
    </row>
    <row r="2313" spans="1:13" x14ac:dyDescent="0.35">
      <c r="A2313" t="s">
        <v>7</v>
      </c>
      <c r="B2313" t="s">
        <v>62</v>
      </c>
      <c r="M2313">
        <v>23.117145216035226</v>
      </c>
    </row>
    <row r="2314" spans="1:13" x14ac:dyDescent="0.35">
      <c r="A2314" t="s">
        <v>7</v>
      </c>
      <c r="B2314" t="s">
        <v>63</v>
      </c>
      <c r="M2314">
        <v>22.6768186404917</v>
      </c>
    </row>
    <row r="2315" spans="1:13" x14ac:dyDescent="0.35">
      <c r="A2315" t="s">
        <v>7</v>
      </c>
      <c r="B2315" t="s">
        <v>64</v>
      </c>
      <c r="M2315">
        <v>22.23649206494817</v>
      </c>
    </row>
    <row r="2316" spans="1:13" x14ac:dyDescent="0.35">
      <c r="A2316" t="s">
        <v>7</v>
      </c>
      <c r="B2316" t="s">
        <v>65</v>
      </c>
      <c r="M2316">
        <v>21.576002201632878</v>
      </c>
    </row>
    <row r="2317" spans="1:13" x14ac:dyDescent="0.35">
      <c r="A2317" t="s">
        <v>7</v>
      </c>
      <c r="B2317" t="s">
        <v>66</v>
      </c>
      <c r="M2317">
        <v>20.695349050545826</v>
      </c>
    </row>
    <row r="2318" spans="1:13" x14ac:dyDescent="0.35">
      <c r="A2318" t="s">
        <v>7</v>
      </c>
      <c r="B2318" t="s">
        <v>47</v>
      </c>
      <c r="M2318">
        <v>143.25607498329828</v>
      </c>
    </row>
    <row r="2319" spans="1:13" x14ac:dyDescent="0.35">
      <c r="A2319" t="s">
        <v>8</v>
      </c>
      <c r="B2319" t="s">
        <v>72</v>
      </c>
      <c r="M2319">
        <v>3.3551417547391376</v>
      </c>
    </row>
    <row r="2320" spans="1:13" x14ac:dyDescent="0.35">
      <c r="A2320" t="s">
        <v>8</v>
      </c>
      <c r="B2320" t="s">
        <v>61</v>
      </c>
      <c r="M2320">
        <v>9.1427612816641499</v>
      </c>
    </row>
    <row r="2321" spans="1:13" x14ac:dyDescent="0.35">
      <c r="A2321" t="s">
        <v>8</v>
      </c>
      <c r="B2321" t="s">
        <v>62</v>
      </c>
      <c r="M2321">
        <v>8.8072471061902355</v>
      </c>
    </row>
    <row r="2322" spans="1:13" x14ac:dyDescent="0.35">
      <c r="A2322" t="s">
        <v>8</v>
      </c>
      <c r="B2322" t="s">
        <v>63</v>
      </c>
      <c r="M2322">
        <v>8.6394900184532784</v>
      </c>
    </row>
    <row r="2323" spans="1:13" x14ac:dyDescent="0.35">
      <c r="A2323" t="s">
        <v>8</v>
      </c>
      <c r="B2323" t="s">
        <v>64</v>
      </c>
      <c r="M2323">
        <v>8.4717329307163229</v>
      </c>
    </row>
    <row r="2324" spans="1:13" x14ac:dyDescent="0.35">
      <c r="A2324" t="s">
        <v>8</v>
      </c>
      <c r="B2324" t="s">
        <v>65</v>
      </c>
      <c r="M2324">
        <v>8.2200972991108863</v>
      </c>
    </row>
    <row r="2325" spans="1:13" x14ac:dyDescent="0.35">
      <c r="A2325" t="s">
        <v>8</v>
      </c>
      <c r="B2325" t="s">
        <v>66</v>
      </c>
      <c r="M2325">
        <v>7.8845831236369737</v>
      </c>
    </row>
    <row r="2326" spans="1:13" x14ac:dyDescent="0.35">
      <c r="A2326" t="s">
        <v>8</v>
      </c>
      <c r="B2326" t="s">
        <v>47</v>
      </c>
      <c r="M2326">
        <v>54.52365583686899</v>
      </c>
    </row>
    <row r="2327" spans="1:13" x14ac:dyDescent="0.35">
      <c r="A2327" t="s">
        <v>9</v>
      </c>
      <c r="B2327" t="s">
        <v>72</v>
      </c>
      <c r="M2327">
        <v>8.4363636363636356</v>
      </c>
    </row>
    <row r="2328" spans="1:13" x14ac:dyDescent="0.35">
      <c r="A2328" t="s">
        <v>9</v>
      </c>
      <c r="B2328" t="s">
        <v>61</v>
      </c>
      <c r="M2328">
        <v>22.989090909090908</v>
      </c>
    </row>
    <row r="2329" spans="1:13" x14ac:dyDescent="0.35">
      <c r="A2329" t="s">
        <v>9</v>
      </c>
      <c r="B2329" t="s">
        <v>62</v>
      </c>
      <c r="M2329">
        <v>22.145454545454548</v>
      </c>
    </row>
    <row r="2330" spans="1:13" x14ac:dyDescent="0.35">
      <c r="A2330" t="s">
        <v>9</v>
      </c>
      <c r="B2330" t="s">
        <v>63</v>
      </c>
      <c r="M2330">
        <v>21.723636363636363</v>
      </c>
    </row>
    <row r="2331" spans="1:13" x14ac:dyDescent="0.35">
      <c r="A2331" t="s">
        <v>9</v>
      </c>
      <c r="B2331" t="s">
        <v>64</v>
      </c>
      <c r="M2331">
        <v>21.301818181818181</v>
      </c>
    </row>
    <row r="2332" spans="1:13" x14ac:dyDescent="0.35">
      <c r="A2332" t="s">
        <v>9</v>
      </c>
      <c r="B2332" t="s">
        <v>65</v>
      </c>
      <c r="M2332">
        <v>20.669090909090908</v>
      </c>
    </row>
    <row r="2333" spans="1:13" x14ac:dyDescent="0.35">
      <c r="A2333" t="s">
        <v>9</v>
      </c>
      <c r="B2333" t="s">
        <v>66</v>
      </c>
      <c r="M2333">
        <v>19.825454545454544</v>
      </c>
    </row>
    <row r="2334" spans="1:13" x14ac:dyDescent="0.35">
      <c r="A2334" t="s">
        <v>9</v>
      </c>
      <c r="B2334" t="s">
        <v>47</v>
      </c>
      <c r="M2334">
        <v>135.45059692953629</v>
      </c>
    </row>
    <row r="2335" spans="1:13" x14ac:dyDescent="0.35">
      <c r="A2335" t="s">
        <v>10</v>
      </c>
      <c r="B2335" t="s">
        <v>72</v>
      </c>
      <c r="M2335">
        <v>6.3526052819414707</v>
      </c>
    </row>
    <row r="2336" spans="1:13" x14ac:dyDescent="0.35">
      <c r="A2336" t="s">
        <v>10</v>
      </c>
      <c r="B2336" t="s">
        <v>61</v>
      </c>
      <c r="M2336">
        <v>17.310849393290503</v>
      </c>
    </row>
    <row r="2337" spans="1:13" x14ac:dyDescent="0.35">
      <c r="A2337" t="s">
        <v>10</v>
      </c>
      <c r="B2337" t="s">
        <v>62</v>
      </c>
      <c r="M2337">
        <v>16.675588865096358</v>
      </c>
    </row>
    <row r="2338" spans="1:13" x14ac:dyDescent="0.35">
      <c r="A2338" t="s">
        <v>10</v>
      </c>
      <c r="B2338" t="s">
        <v>63</v>
      </c>
      <c r="M2338">
        <v>16.357958600999286</v>
      </c>
    </row>
    <row r="2339" spans="1:13" x14ac:dyDescent="0.35">
      <c r="A2339" t="s">
        <v>10</v>
      </c>
      <c r="B2339" t="s">
        <v>64</v>
      </c>
      <c r="M2339">
        <v>16.040328336902213</v>
      </c>
    </row>
    <row r="2340" spans="1:13" x14ac:dyDescent="0.35">
      <c r="A2340" t="s">
        <v>10</v>
      </c>
      <c r="B2340" t="s">
        <v>65</v>
      </c>
      <c r="M2340">
        <v>15.563882940756603</v>
      </c>
    </row>
    <row r="2341" spans="1:13" x14ac:dyDescent="0.35">
      <c r="A2341" t="s">
        <v>10</v>
      </c>
      <c r="B2341" t="s">
        <v>66</v>
      </c>
      <c r="M2341">
        <v>14.928622412562454</v>
      </c>
    </row>
    <row r="2342" spans="1:13" x14ac:dyDescent="0.35">
      <c r="A2342" t="s">
        <v>10</v>
      </c>
      <c r="B2342" t="s">
        <v>47</v>
      </c>
      <c r="M2342">
        <v>62.12673516161172</v>
      </c>
    </row>
    <row r="2343" spans="1:13" x14ac:dyDescent="0.35">
      <c r="A2343" t="s">
        <v>11</v>
      </c>
      <c r="B2343" t="s">
        <v>72</v>
      </c>
      <c r="M2343">
        <v>6.5374560007010682</v>
      </c>
    </row>
    <row r="2344" spans="1:13" x14ac:dyDescent="0.35">
      <c r="A2344" t="s">
        <v>11</v>
      </c>
      <c r="B2344" t="s">
        <v>61</v>
      </c>
      <c r="M2344">
        <v>17.814567601910412</v>
      </c>
    </row>
    <row r="2345" spans="1:13" x14ac:dyDescent="0.35">
      <c r="A2345" t="s">
        <v>11</v>
      </c>
      <c r="B2345" t="s">
        <v>62</v>
      </c>
      <c r="M2345">
        <v>17.160822001840305</v>
      </c>
    </row>
    <row r="2346" spans="1:13" x14ac:dyDescent="0.35">
      <c r="A2346" t="s">
        <v>11</v>
      </c>
      <c r="B2346" t="s">
        <v>63</v>
      </c>
      <c r="M2346">
        <v>16.83394920180525</v>
      </c>
    </row>
    <row r="2347" spans="1:13" x14ac:dyDescent="0.35">
      <c r="A2347" t="s">
        <v>11</v>
      </c>
      <c r="B2347" t="s">
        <v>64</v>
      </c>
      <c r="M2347">
        <v>16.507076401770195</v>
      </c>
    </row>
    <row r="2348" spans="1:13" x14ac:dyDescent="0.35">
      <c r="A2348" t="s">
        <v>11</v>
      </c>
      <c r="B2348" t="s">
        <v>65</v>
      </c>
      <c r="M2348">
        <v>16.016767201717613</v>
      </c>
    </row>
    <row r="2349" spans="1:13" x14ac:dyDescent="0.35">
      <c r="A2349" t="s">
        <v>11</v>
      </c>
      <c r="B2349" t="s">
        <v>66</v>
      </c>
      <c r="M2349">
        <v>15.363021601647509</v>
      </c>
    </row>
    <row r="2350" spans="1:13" x14ac:dyDescent="0.35">
      <c r="A2350" t="s">
        <v>11</v>
      </c>
      <c r="B2350" t="s">
        <v>47</v>
      </c>
      <c r="M2350">
        <v>106.28222643213805</v>
      </c>
    </row>
    <row r="2351" spans="1:13" x14ac:dyDescent="0.35">
      <c r="A2351" t="s">
        <v>12</v>
      </c>
      <c r="B2351" t="s">
        <v>72</v>
      </c>
      <c r="M2351">
        <v>3.9206288343558278</v>
      </c>
    </row>
    <row r="2352" spans="1:13" x14ac:dyDescent="0.35">
      <c r="A2352" t="s">
        <v>12</v>
      </c>
      <c r="B2352" t="s">
        <v>61</v>
      </c>
      <c r="M2352">
        <v>10.683713573619631</v>
      </c>
    </row>
    <row r="2353" spans="1:13" x14ac:dyDescent="0.35">
      <c r="A2353" t="s">
        <v>12</v>
      </c>
      <c r="B2353" t="s">
        <v>62</v>
      </c>
      <c r="M2353">
        <v>10.291650690184049</v>
      </c>
    </row>
    <row r="2354" spans="1:13" x14ac:dyDescent="0.35">
      <c r="A2354" t="s">
        <v>12</v>
      </c>
      <c r="B2354" t="s">
        <v>63</v>
      </c>
      <c r="M2354">
        <v>10.095619248466257</v>
      </c>
    </row>
    <row r="2355" spans="1:13" x14ac:dyDescent="0.35">
      <c r="A2355" t="s">
        <v>12</v>
      </c>
      <c r="B2355" t="s">
        <v>64</v>
      </c>
      <c r="M2355">
        <v>9.8995878067484657</v>
      </c>
    </row>
    <row r="2356" spans="1:13" x14ac:dyDescent="0.35">
      <c r="A2356" t="s">
        <v>12</v>
      </c>
      <c r="B2356" t="s">
        <v>65</v>
      </c>
      <c r="M2356">
        <v>9.6055406441717768</v>
      </c>
    </row>
    <row r="2357" spans="1:13" x14ac:dyDescent="0.35">
      <c r="A2357" t="s">
        <v>12</v>
      </c>
      <c r="B2357" t="s">
        <v>66</v>
      </c>
      <c r="M2357">
        <v>9.2134777607361968</v>
      </c>
    </row>
    <row r="2358" spans="1:13" x14ac:dyDescent="0.35">
      <c r="A2358" t="s">
        <v>12</v>
      </c>
      <c r="B2358" t="s">
        <v>47</v>
      </c>
      <c r="M2358">
        <v>63.724286793264596</v>
      </c>
    </row>
    <row r="2359" spans="1:13" x14ac:dyDescent="0.35">
      <c r="A2359" t="s">
        <v>13</v>
      </c>
      <c r="B2359" t="s">
        <v>72</v>
      </c>
      <c r="M2359">
        <v>21.22872800692241</v>
      </c>
    </row>
    <row r="2360" spans="1:13" x14ac:dyDescent="0.35">
      <c r="A2360" t="s">
        <v>13</v>
      </c>
      <c r="B2360" t="s">
        <v>61</v>
      </c>
      <c r="M2360">
        <v>57.848283818863564</v>
      </c>
    </row>
    <row r="2361" spans="1:13" x14ac:dyDescent="0.35">
      <c r="A2361" t="s">
        <v>13</v>
      </c>
      <c r="B2361" t="s">
        <v>62</v>
      </c>
      <c r="M2361">
        <v>55.725411018171336</v>
      </c>
    </row>
    <row r="2362" spans="1:13" x14ac:dyDescent="0.35">
      <c r="A2362" t="s">
        <v>13</v>
      </c>
      <c r="B2362" t="s">
        <v>63</v>
      </c>
      <c r="M2362">
        <v>54.663974617825204</v>
      </c>
    </row>
    <row r="2363" spans="1:13" x14ac:dyDescent="0.35">
      <c r="A2363" t="s">
        <v>13</v>
      </c>
      <c r="B2363" t="s">
        <v>64</v>
      </c>
      <c r="M2363">
        <v>53.602538217479086</v>
      </c>
    </row>
    <row r="2364" spans="1:13" x14ac:dyDescent="0.35">
      <c r="A2364" t="s">
        <v>13</v>
      </c>
      <c r="B2364" t="s">
        <v>65</v>
      </c>
      <c r="M2364">
        <v>52.010383616959913</v>
      </c>
    </row>
    <row r="2365" spans="1:13" x14ac:dyDescent="0.35">
      <c r="A2365" t="s">
        <v>13</v>
      </c>
      <c r="B2365" t="s">
        <v>66</v>
      </c>
      <c r="M2365">
        <v>49.887510816267664</v>
      </c>
    </row>
    <row r="2366" spans="1:13" x14ac:dyDescent="0.35">
      <c r="A2366" t="s">
        <v>13</v>
      </c>
      <c r="B2366" t="s">
        <v>47</v>
      </c>
      <c r="M2366">
        <v>344.85564927764273</v>
      </c>
    </row>
    <row r="2367" spans="1:13" x14ac:dyDescent="0.35">
      <c r="A2367" t="s">
        <v>14</v>
      </c>
      <c r="B2367" t="s">
        <v>72</v>
      </c>
      <c r="M2367">
        <v>18.069900886802291</v>
      </c>
    </row>
    <row r="2368" spans="1:13" x14ac:dyDescent="0.35">
      <c r="A2368" t="s">
        <v>14</v>
      </c>
      <c r="B2368" t="s">
        <v>61</v>
      </c>
      <c r="M2368">
        <v>49.240479916536245</v>
      </c>
    </row>
    <row r="2369" spans="1:13" x14ac:dyDescent="0.35">
      <c r="A2369" t="s">
        <v>14</v>
      </c>
      <c r="B2369" t="s">
        <v>62</v>
      </c>
      <c r="M2369">
        <v>47.433489827856022</v>
      </c>
    </row>
    <row r="2370" spans="1:13" x14ac:dyDescent="0.35">
      <c r="A2370" t="s">
        <v>14</v>
      </c>
      <c r="B2370" t="s">
        <v>63</v>
      </c>
      <c r="M2370">
        <v>46.52999478351591</v>
      </c>
    </row>
    <row r="2371" spans="1:13" x14ac:dyDescent="0.35">
      <c r="A2371" t="s">
        <v>14</v>
      </c>
      <c r="B2371" t="s">
        <v>64</v>
      </c>
      <c r="M2371">
        <v>45.626499739175799</v>
      </c>
    </row>
    <row r="2372" spans="1:13" x14ac:dyDescent="0.35">
      <c r="A2372" t="s">
        <v>14</v>
      </c>
      <c r="B2372" t="s">
        <v>65</v>
      </c>
      <c r="M2372">
        <v>44.271257172665614</v>
      </c>
    </row>
    <row r="2373" spans="1:13" x14ac:dyDescent="0.35">
      <c r="A2373" t="s">
        <v>14</v>
      </c>
      <c r="B2373" t="s">
        <v>66</v>
      </c>
      <c r="M2373">
        <v>42.464267083985391</v>
      </c>
    </row>
    <row r="2374" spans="1:13" x14ac:dyDescent="0.35">
      <c r="A2374" t="s">
        <v>14</v>
      </c>
      <c r="B2374" t="s">
        <v>47</v>
      </c>
      <c r="M2374">
        <v>293.78906355044842</v>
      </c>
    </row>
    <row r="2375" spans="1:13" x14ac:dyDescent="0.35">
      <c r="A2375" t="s">
        <v>15</v>
      </c>
      <c r="B2375" t="s">
        <v>72</v>
      </c>
      <c r="M2375">
        <v>7.6233183856502249</v>
      </c>
    </row>
    <row r="2376" spans="1:13" x14ac:dyDescent="0.35">
      <c r="A2376" t="s">
        <v>15</v>
      </c>
      <c r="B2376" t="s">
        <v>61</v>
      </c>
      <c r="M2376">
        <v>20.77354260089686</v>
      </c>
    </row>
    <row r="2377" spans="1:13" x14ac:dyDescent="0.35">
      <c r="A2377" t="s">
        <v>15</v>
      </c>
      <c r="B2377" t="s">
        <v>62</v>
      </c>
      <c r="M2377">
        <v>20.011210762331839</v>
      </c>
    </row>
    <row r="2378" spans="1:13" x14ac:dyDescent="0.35">
      <c r="A2378" t="s">
        <v>15</v>
      </c>
      <c r="B2378" t="s">
        <v>63</v>
      </c>
      <c r="M2378">
        <v>19.630044843049326</v>
      </c>
    </row>
    <row r="2379" spans="1:13" x14ac:dyDescent="0.35">
      <c r="A2379" t="s">
        <v>15</v>
      </c>
      <c r="B2379" t="s">
        <v>64</v>
      </c>
      <c r="M2379">
        <v>19.248878923766817</v>
      </c>
    </row>
    <row r="2380" spans="1:13" x14ac:dyDescent="0.35">
      <c r="A2380" t="s">
        <v>15</v>
      </c>
      <c r="B2380" t="s">
        <v>65</v>
      </c>
      <c r="M2380">
        <v>18.67713004484305</v>
      </c>
    </row>
    <row r="2381" spans="1:13" x14ac:dyDescent="0.35">
      <c r="A2381" t="s">
        <v>15</v>
      </c>
      <c r="B2381" t="s">
        <v>66</v>
      </c>
      <c r="M2381">
        <v>17.914798206278029</v>
      </c>
    </row>
    <row r="2382" spans="1:13" x14ac:dyDescent="0.35">
      <c r="A2382" t="s">
        <v>15</v>
      </c>
      <c r="B2382" t="s">
        <v>47</v>
      </c>
      <c r="M2382">
        <v>123.96117623996697</v>
      </c>
    </row>
    <row r="2383" spans="1:13" x14ac:dyDescent="0.35">
      <c r="A2383" t="s">
        <v>16</v>
      </c>
      <c r="B2383" t="s">
        <v>72</v>
      </c>
      <c r="M2383">
        <v>7.3324176290040883</v>
      </c>
    </row>
    <row r="2384" spans="1:13" x14ac:dyDescent="0.35">
      <c r="A2384" t="s">
        <v>16</v>
      </c>
      <c r="B2384" t="s">
        <v>61</v>
      </c>
      <c r="M2384">
        <v>19.980838039036136</v>
      </c>
    </row>
    <row r="2385" spans="1:13" x14ac:dyDescent="0.35">
      <c r="A2385" t="s">
        <v>16</v>
      </c>
      <c r="B2385" t="s">
        <v>62</v>
      </c>
      <c r="M2385">
        <v>19.247596276135727</v>
      </c>
    </row>
    <row r="2386" spans="1:13" x14ac:dyDescent="0.35">
      <c r="A2386" t="s">
        <v>16</v>
      </c>
      <c r="B2386" t="s">
        <v>63</v>
      </c>
      <c r="M2386">
        <v>18.880975394685525</v>
      </c>
    </row>
    <row r="2387" spans="1:13" x14ac:dyDescent="0.35">
      <c r="A2387" t="s">
        <v>16</v>
      </c>
      <c r="B2387" t="s">
        <v>64</v>
      </c>
      <c r="M2387">
        <v>18.514354513235318</v>
      </c>
    </row>
    <row r="2388" spans="1:13" x14ac:dyDescent="0.35">
      <c r="A2388" t="s">
        <v>16</v>
      </c>
      <c r="B2388" t="s">
        <v>65</v>
      </c>
      <c r="M2388">
        <v>17.964423191060014</v>
      </c>
    </row>
    <row r="2389" spans="1:13" x14ac:dyDescent="0.35">
      <c r="A2389" t="s">
        <v>16</v>
      </c>
      <c r="B2389" t="s">
        <v>66</v>
      </c>
      <c r="M2389">
        <v>17.231181428159601</v>
      </c>
    </row>
    <row r="2390" spans="1:13" x14ac:dyDescent="0.35">
      <c r="A2390" t="s">
        <v>16</v>
      </c>
      <c r="B2390" t="s">
        <v>47</v>
      </c>
      <c r="M2390">
        <v>119.10889970404131</v>
      </c>
    </row>
    <row r="2391" spans="1:13" x14ac:dyDescent="0.35">
      <c r="A2391" t="s">
        <v>17</v>
      </c>
      <c r="B2391" t="s">
        <v>72</v>
      </c>
      <c r="M2391">
        <v>15.146666666666667</v>
      </c>
    </row>
    <row r="2392" spans="1:13" x14ac:dyDescent="0.35">
      <c r="A2392" t="s">
        <v>17</v>
      </c>
      <c r="B2392" t="s">
        <v>61</v>
      </c>
      <c r="M2392">
        <v>41.274666666666668</v>
      </c>
    </row>
    <row r="2393" spans="1:13" x14ac:dyDescent="0.35">
      <c r="A2393" t="s">
        <v>17</v>
      </c>
      <c r="B2393" t="s">
        <v>62</v>
      </c>
      <c r="M2393">
        <v>39.760000000000005</v>
      </c>
    </row>
    <row r="2394" spans="1:13" x14ac:dyDescent="0.35">
      <c r="A2394" t="s">
        <v>17</v>
      </c>
      <c r="B2394" t="s">
        <v>63</v>
      </c>
      <c r="M2394">
        <v>39.00266666666667</v>
      </c>
    </row>
    <row r="2395" spans="1:13" x14ac:dyDescent="0.35">
      <c r="A2395" t="s">
        <v>17</v>
      </c>
      <c r="B2395" t="s">
        <v>64</v>
      </c>
      <c r="M2395">
        <v>38.245333333333335</v>
      </c>
    </row>
    <row r="2396" spans="1:13" x14ac:dyDescent="0.35">
      <c r="A2396" t="s">
        <v>17</v>
      </c>
      <c r="B2396" t="s">
        <v>65</v>
      </c>
      <c r="M2396">
        <v>37.109333333333332</v>
      </c>
    </row>
    <row r="2397" spans="1:13" x14ac:dyDescent="0.35">
      <c r="A2397" t="s">
        <v>17</v>
      </c>
      <c r="B2397" t="s">
        <v>66</v>
      </c>
      <c r="M2397">
        <v>35.594666666666669</v>
      </c>
    </row>
    <row r="2398" spans="1:13" x14ac:dyDescent="0.35">
      <c r="A2398" t="s">
        <v>17</v>
      </c>
      <c r="B2398" t="s">
        <v>47</v>
      </c>
      <c r="M2398">
        <v>247.29414846739425</v>
      </c>
    </row>
    <row r="2399" spans="1:13" x14ac:dyDescent="0.35">
      <c r="A2399" t="s">
        <v>18</v>
      </c>
      <c r="B2399" t="s">
        <v>72</v>
      </c>
      <c r="M2399">
        <v>14.137214137214139</v>
      </c>
    </row>
    <row r="2400" spans="1:13" x14ac:dyDescent="0.35">
      <c r="A2400" t="s">
        <v>18</v>
      </c>
      <c r="B2400" t="s">
        <v>61</v>
      </c>
      <c r="M2400">
        <v>38.523908523908524</v>
      </c>
    </row>
    <row r="2401" spans="1:13" x14ac:dyDescent="0.35">
      <c r="A2401" t="s">
        <v>18</v>
      </c>
      <c r="B2401" t="s">
        <v>62</v>
      </c>
      <c r="M2401">
        <v>37.110187110187113</v>
      </c>
    </row>
    <row r="2402" spans="1:13" x14ac:dyDescent="0.35">
      <c r="A2402" t="s">
        <v>18</v>
      </c>
      <c r="B2402" t="s">
        <v>63</v>
      </c>
      <c r="M2402">
        <v>36.403326403326403</v>
      </c>
    </row>
    <row r="2403" spans="1:13" x14ac:dyDescent="0.35">
      <c r="A2403" t="s">
        <v>18</v>
      </c>
      <c r="B2403" t="s">
        <v>64</v>
      </c>
      <c r="M2403">
        <v>35.696465696465701</v>
      </c>
    </row>
    <row r="2404" spans="1:13" x14ac:dyDescent="0.35">
      <c r="A2404" t="s">
        <v>18</v>
      </c>
      <c r="B2404" t="s">
        <v>65</v>
      </c>
      <c r="M2404">
        <v>34.636174636174637</v>
      </c>
    </row>
    <row r="2405" spans="1:13" x14ac:dyDescent="0.35">
      <c r="A2405" t="s">
        <v>18</v>
      </c>
      <c r="B2405" t="s">
        <v>66</v>
      </c>
      <c r="M2405">
        <v>33.222453222453225</v>
      </c>
    </row>
    <row r="2406" spans="1:13" x14ac:dyDescent="0.35">
      <c r="A2406" t="s">
        <v>18</v>
      </c>
      <c r="B2406" t="s">
        <v>47</v>
      </c>
      <c r="M2406">
        <v>230.13560873070085</v>
      </c>
    </row>
    <row r="2407" spans="1:13" x14ac:dyDescent="0.35">
      <c r="A2407" t="s">
        <v>19</v>
      </c>
      <c r="B2407" t="s">
        <v>72</v>
      </c>
      <c r="M2407">
        <v>6.0514372163388801</v>
      </c>
    </row>
    <row r="2408" spans="1:13" x14ac:dyDescent="0.35">
      <c r="A2408" t="s">
        <v>19</v>
      </c>
      <c r="B2408" t="s">
        <v>61</v>
      </c>
      <c r="M2408">
        <v>16.490166414523451</v>
      </c>
    </row>
    <row r="2409" spans="1:13" x14ac:dyDescent="0.35">
      <c r="A2409" t="s">
        <v>19</v>
      </c>
      <c r="B2409" t="s">
        <v>62</v>
      </c>
      <c r="M2409">
        <v>15.88502269288956</v>
      </c>
    </row>
    <row r="2410" spans="1:13" x14ac:dyDescent="0.35">
      <c r="A2410" t="s">
        <v>19</v>
      </c>
      <c r="B2410" t="s">
        <v>63</v>
      </c>
      <c r="M2410">
        <v>15.582450832072617</v>
      </c>
    </row>
    <row r="2411" spans="1:13" x14ac:dyDescent="0.35">
      <c r="A2411" t="s">
        <v>19</v>
      </c>
      <c r="B2411" t="s">
        <v>64</v>
      </c>
      <c r="M2411">
        <v>15.279878971255672</v>
      </c>
    </row>
    <row r="2412" spans="1:13" x14ac:dyDescent="0.35">
      <c r="A2412" t="s">
        <v>19</v>
      </c>
      <c r="B2412" t="s">
        <v>65</v>
      </c>
      <c r="M2412">
        <v>14.826021180030258</v>
      </c>
    </row>
    <row r="2413" spans="1:13" x14ac:dyDescent="0.35">
      <c r="A2413" t="s">
        <v>19</v>
      </c>
      <c r="B2413" t="s">
        <v>66</v>
      </c>
      <c r="M2413">
        <v>14.22087745839637</v>
      </c>
    </row>
    <row r="2414" spans="1:13" x14ac:dyDescent="0.35">
      <c r="A2414" t="s">
        <v>19</v>
      </c>
      <c r="B2414" t="s">
        <v>47</v>
      </c>
      <c r="M2414">
        <v>100.01136093584648</v>
      </c>
    </row>
    <row r="2415" spans="1:13" x14ac:dyDescent="0.35">
      <c r="A2415" t="s">
        <v>20</v>
      </c>
      <c r="B2415" t="s">
        <v>72</v>
      </c>
      <c r="M2415">
        <v>4.9733570159857905</v>
      </c>
    </row>
    <row r="2416" spans="1:13" x14ac:dyDescent="0.35">
      <c r="A2416" t="s">
        <v>20</v>
      </c>
      <c r="B2416" t="s">
        <v>61</v>
      </c>
      <c r="M2416">
        <v>13.552397868561281</v>
      </c>
    </row>
    <row r="2417" spans="1:13" x14ac:dyDescent="0.35">
      <c r="A2417" t="s">
        <v>20</v>
      </c>
      <c r="B2417" t="s">
        <v>62</v>
      </c>
      <c r="M2417">
        <v>13.055062166962701</v>
      </c>
    </row>
    <row r="2418" spans="1:13" x14ac:dyDescent="0.35">
      <c r="A2418" t="s">
        <v>20</v>
      </c>
      <c r="B2418" t="s">
        <v>63</v>
      </c>
      <c r="M2418">
        <v>12.806394316163411</v>
      </c>
    </row>
    <row r="2419" spans="1:13" x14ac:dyDescent="0.35">
      <c r="A2419" t="s">
        <v>20</v>
      </c>
      <c r="B2419" t="s">
        <v>64</v>
      </c>
      <c r="M2419">
        <v>12.557726465364123</v>
      </c>
    </row>
    <row r="2420" spans="1:13" x14ac:dyDescent="0.35">
      <c r="A2420" t="s">
        <v>20</v>
      </c>
      <c r="B2420" t="s">
        <v>65</v>
      </c>
      <c r="M2420">
        <v>12.184724689165186</v>
      </c>
    </row>
    <row r="2421" spans="1:13" x14ac:dyDescent="0.35">
      <c r="A2421" t="s">
        <v>20</v>
      </c>
      <c r="B2421" t="s">
        <v>66</v>
      </c>
      <c r="M2421">
        <v>11.687388987566608</v>
      </c>
    </row>
    <row r="2422" spans="1:13" x14ac:dyDescent="0.35">
      <c r="A2422" t="s">
        <v>20</v>
      </c>
      <c r="B2422" t="s">
        <v>47</v>
      </c>
      <c r="M2422">
        <v>80.817051509769101</v>
      </c>
    </row>
    <row r="2423" spans="1:13" x14ac:dyDescent="0.35">
      <c r="A2423" t="s">
        <v>21</v>
      </c>
      <c r="B2423" t="s">
        <v>72</v>
      </c>
      <c r="M2423">
        <v>2.474502591539876</v>
      </c>
    </row>
    <row r="2424" spans="1:13" x14ac:dyDescent="0.35">
      <c r="A2424" t="s">
        <v>21</v>
      </c>
      <c r="B2424" t="s">
        <v>61</v>
      </c>
      <c r="M2424">
        <v>6.7430195619461628</v>
      </c>
    </row>
    <row r="2425" spans="1:13" x14ac:dyDescent="0.35">
      <c r="A2425" t="s">
        <v>21</v>
      </c>
      <c r="B2425" t="s">
        <v>62</v>
      </c>
      <c r="M2425">
        <v>6.495569302792175</v>
      </c>
    </row>
    <row r="2426" spans="1:13" x14ac:dyDescent="0.35">
      <c r="A2426" t="s">
        <v>21</v>
      </c>
      <c r="B2426" t="s">
        <v>63</v>
      </c>
      <c r="M2426">
        <v>6.3718441732151812</v>
      </c>
    </row>
    <row r="2427" spans="1:13" x14ac:dyDescent="0.35">
      <c r="A2427" t="s">
        <v>21</v>
      </c>
      <c r="B2427" t="s">
        <v>64</v>
      </c>
      <c r="M2427">
        <v>6.2481190436381864</v>
      </c>
    </row>
    <row r="2428" spans="1:13" x14ac:dyDescent="0.35">
      <c r="A2428" t="s">
        <v>21</v>
      </c>
      <c r="B2428" t="s">
        <v>65</v>
      </c>
      <c r="M2428">
        <v>6.0625313492726969</v>
      </c>
    </row>
    <row r="2429" spans="1:13" x14ac:dyDescent="0.35">
      <c r="A2429" t="s">
        <v>21</v>
      </c>
      <c r="B2429" t="s">
        <v>66</v>
      </c>
      <c r="M2429">
        <v>5.8150810901187091</v>
      </c>
    </row>
    <row r="2430" spans="1:13" x14ac:dyDescent="0.35">
      <c r="A2430" t="s">
        <v>21</v>
      </c>
      <c r="B2430" t="s">
        <v>47</v>
      </c>
      <c r="M2430">
        <v>40.155895055066836</v>
      </c>
    </row>
    <row r="2431" spans="1:13" x14ac:dyDescent="0.35">
      <c r="A2431" t="s">
        <v>22</v>
      </c>
      <c r="B2431" t="s">
        <v>72</v>
      </c>
      <c r="M2431">
        <v>19.223942546626251</v>
      </c>
    </row>
    <row r="2432" spans="1:13" x14ac:dyDescent="0.35">
      <c r="A2432" t="s">
        <v>22</v>
      </c>
      <c r="B2432" t="s">
        <v>61</v>
      </c>
      <c r="M2432">
        <v>52.385243439556525</v>
      </c>
    </row>
    <row r="2433" spans="1:13" x14ac:dyDescent="0.35">
      <c r="A2433" t="s">
        <v>22</v>
      </c>
      <c r="B2433" t="s">
        <v>62</v>
      </c>
      <c r="M2433">
        <v>50.462849184893912</v>
      </c>
    </row>
    <row r="2434" spans="1:13" x14ac:dyDescent="0.35">
      <c r="A2434" t="s">
        <v>22</v>
      </c>
      <c r="B2434" t="s">
        <v>63</v>
      </c>
      <c r="M2434">
        <v>49.501652057562595</v>
      </c>
    </row>
    <row r="2435" spans="1:13" x14ac:dyDescent="0.35">
      <c r="A2435" t="s">
        <v>22</v>
      </c>
      <c r="B2435" t="s">
        <v>64</v>
      </c>
      <c r="M2435">
        <v>48.540454930231284</v>
      </c>
    </row>
    <row r="2436" spans="1:13" x14ac:dyDescent="0.35">
      <c r="A2436" t="s">
        <v>22</v>
      </c>
      <c r="B2436" t="s">
        <v>65</v>
      </c>
      <c r="M2436">
        <v>47.098659239234308</v>
      </c>
    </row>
    <row r="2437" spans="1:13" x14ac:dyDescent="0.35">
      <c r="A2437" t="s">
        <v>22</v>
      </c>
      <c r="B2437" t="s">
        <v>66</v>
      </c>
      <c r="M2437">
        <v>45.176264984571681</v>
      </c>
    </row>
    <row r="2438" spans="1:13" x14ac:dyDescent="0.35">
      <c r="A2438" t="s">
        <v>22</v>
      </c>
      <c r="B2438" t="s">
        <v>47</v>
      </c>
      <c r="M2438">
        <v>312.36248179036693</v>
      </c>
    </row>
    <row r="2439" spans="1:13" x14ac:dyDescent="0.35">
      <c r="A2439" t="s">
        <v>23</v>
      </c>
      <c r="B2439" t="s">
        <v>72</v>
      </c>
      <c r="M2439">
        <v>7.0676691729323311</v>
      </c>
    </row>
    <row r="2440" spans="1:13" x14ac:dyDescent="0.35">
      <c r="A2440" t="s">
        <v>23</v>
      </c>
      <c r="B2440" t="s">
        <v>61</v>
      </c>
      <c r="M2440">
        <v>19.259398496240603</v>
      </c>
    </row>
    <row r="2441" spans="1:13" x14ac:dyDescent="0.35">
      <c r="A2441" t="s">
        <v>23</v>
      </c>
      <c r="B2441" t="s">
        <v>62</v>
      </c>
      <c r="M2441">
        <v>18.552631578947366</v>
      </c>
    </row>
    <row r="2442" spans="1:13" x14ac:dyDescent="0.35">
      <c r="A2442" t="s">
        <v>23</v>
      </c>
      <c r="B2442" t="s">
        <v>63</v>
      </c>
      <c r="M2442">
        <v>18.199248120300748</v>
      </c>
    </row>
    <row r="2443" spans="1:13" x14ac:dyDescent="0.35">
      <c r="A2443" t="s">
        <v>23</v>
      </c>
      <c r="B2443" t="s">
        <v>64</v>
      </c>
      <c r="M2443">
        <v>17.845864661654133</v>
      </c>
    </row>
    <row r="2444" spans="1:13" x14ac:dyDescent="0.35">
      <c r="A2444" t="s">
        <v>23</v>
      </c>
      <c r="B2444" t="s">
        <v>65</v>
      </c>
      <c r="M2444">
        <v>17.315789473684209</v>
      </c>
    </row>
    <row r="2445" spans="1:13" x14ac:dyDescent="0.35">
      <c r="A2445" t="s">
        <v>23</v>
      </c>
      <c r="B2445" t="s">
        <v>66</v>
      </c>
      <c r="M2445">
        <v>16.609022556390975</v>
      </c>
    </row>
    <row r="2446" spans="1:13" x14ac:dyDescent="0.35">
      <c r="A2446" t="s">
        <v>23</v>
      </c>
      <c r="B2446" t="s">
        <v>47</v>
      </c>
      <c r="M2446">
        <v>114.95808433629421</v>
      </c>
    </row>
    <row r="2447" spans="1:13" x14ac:dyDescent="0.35">
      <c r="A2447" t="s">
        <v>24</v>
      </c>
      <c r="B2447" t="s">
        <v>72</v>
      </c>
      <c r="M2447">
        <v>19.404237465911475</v>
      </c>
    </row>
    <row r="2448" spans="1:13" x14ac:dyDescent="0.35">
      <c r="A2448" t="s">
        <v>24</v>
      </c>
      <c r="B2448" t="s">
        <v>61</v>
      </c>
      <c r="M2448">
        <v>52.876547094608767</v>
      </c>
    </row>
    <row r="2449" spans="1:13" x14ac:dyDescent="0.35">
      <c r="A2449" t="s">
        <v>24</v>
      </c>
      <c r="B2449" t="s">
        <v>62</v>
      </c>
      <c r="M2449">
        <v>50.936123348017617</v>
      </c>
    </row>
    <row r="2450" spans="1:13" x14ac:dyDescent="0.35">
      <c r="A2450" t="s">
        <v>24</v>
      </c>
      <c r="B2450" t="s">
        <v>63</v>
      </c>
      <c r="M2450">
        <v>49.965911474722041</v>
      </c>
    </row>
    <row r="2451" spans="1:13" x14ac:dyDescent="0.35">
      <c r="A2451" t="s">
        <v>24</v>
      </c>
      <c r="B2451" t="s">
        <v>64</v>
      </c>
      <c r="M2451">
        <v>48.995699601426473</v>
      </c>
    </row>
    <row r="2452" spans="1:13" x14ac:dyDescent="0.35">
      <c r="A2452" t="s">
        <v>24</v>
      </c>
      <c r="B2452" t="s">
        <v>65</v>
      </c>
      <c r="M2452">
        <v>47.540381791483107</v>
      </c>
    </row>
    <row r="2453" spans="1:13" x14ac:dyDescent="0.35">
      <c r="A2453" t="s">
        <v>24</v>
      </c>
      <c r="B2453" t="s">
        <v>66</v>
      </c>
      <c r="M2453">
        <v>45.599958044891963</v>
      </c>
    </row>
    <row r="2454" spans="1:13" x14ac:dyDescent="0.35">
      <c r="A2454" t="s">
        <v>24</v>
      </c>
      <c r="B2454" t="s">
        <v>47</v>
      </c>
      <c r="M2454">
        <v>315.32815656062144</v>
      </c>
    </row>
    <row r="2455" spans="1:13" x14ac:dyDescent="0.35">
      <c r="A2455" t="s">
        <v>25</v>
      </c>
      <c r="B2455" t="s">
        <v>72</v>
      </c>
      <c r="M2455">
        <v>17.327188940092167</v>
      </c>
    </row>
    <row r="2456" spans="1:13" x14ac:dyDescent="0.35">
      <c r="A2456" t="s">
        <v>25</v>
      </c>
      <c r="B2456" t="s">
        <v>61</v>
      </c>
      <c r="M2456">
        <v>47.216589861751146</v>
      </c>
    </row>
    <row r="2457" spans="1:13" x14ac:dyDescent="0.35">
      <c r="A2457" t="s">
        <v>25</v>
      </c>
      <c r="B2457" t="s">
        <v>62</v>
      </c>
      <c r="M2457">
        <v>45.483870967741936</v>
      </c>
    </row>
    <row r="2458" spans="1:13" x14ac:dyDescent="0.35">
      <c r="A2458" t="s">
        <v>25</v>
      </c>
      <c r="B2458" t="s">
        <v>63</v>
      </c>
      <c r="M2458">
        <v>44.617511520737331</v>
      </c>
    </row>
    <row r="2459" spans="1:13" x14ac:dyDescent="0.35">
      <c r="A2459" t="s">
        <v>25</v>
      </c>
      <c r="B2459" t="s">
        <v>64</v>
      </c>
      <c r="M2459">
        <v>43.751152073732712</v>
      </c>
    </row>
    <row r="2460" spans="1:13" x14ac:dyDescent="0.35">
      <c r="A2460" t="s">
        <v>25</v>
      </c>
      <c r="B2460" t="s">
        <v>65</v>
      </c>
      <c r="M2460">
        <v>42.451612903225808</v>
      </c>
    </row>
    <row r="2461" spans="1:13" x14ac:dyDescent="0.35">
      <c r="A2461" t="s">
        <v>25</v>
      </c>
      <c r="B2461" t="s">
        <v>66</v>
      </c>
      <c r="M2461">
        <v>40.718894009216598</v>
      </c>
    </row>
    <row r="2462" spans="1:13" x14ac:dyDescent="0.35">
      <c r="A2462" t="s">
        <v>25</v>
      </c>
      <c r="B2462" t="s">
        <v>47</v>
      </c>
      <c r="M2462">
        <v>282.12959896242148</v>
      </c>
    </row>
    <row r="2463" spans="1:13" x14ac:dyDescent="0.35">
      <c r="A2463" t="s">
        <v>26</v>
      </c>
      <c r="B2463" t="s">
        <v>72</v>
      </c>
      <c r="M2463">
        <v>10.357815442561204</v>
      </c>
    </row>
    <row r="2464" spans="1:13" x14ac:dyDescent="0.35">
      <c r="A2464" t="s">
        <v>26</v>
      </c>
      <c r="B2464" t="s">
        <v>61</v>
      </c>
      <c r="M2464">
        <v>28.225047080979277</v>
      </c>
    </row>
    <row r="2465" spans="1:13" x14ac:dyDescent="0.35">
      <c r="A2465" t="s">
        <v>26</v>
      </c>
      <c r="B2465" t="s">
        <v>62</v>
      </c>
      <c r="M2465">
        <v>27.189265536723163</v>
      </c>
    </row>
    <row r="2466" spans="1:13" x14ac:dyDescent="0.35">
      <c r="A2466" t="s">
        <v>26</v>
      </c>
      <c r="B2466" t="s">
        <v>63</v>
      </c>
      <c r="M2466">
        <v>26.6713747645951</v>
      </c>
    </row>
    <row r="2467" spans="1:13" x14ac:dyDescent="0.35">
      <c r="A2467" t="s">
        <v>26</v>
      </c>
      <c r="B2467" t="s">
        <v>64</v>
      </c>
      <c r="M2467">
        <v>26.153483992467041</v>
      </c>
    </row>
    <row r="2468" spans="1:13" x14ac:dyDescent="0.35">
      <c r="A2468" t="s">
        <v>26</v>
      </c>
      <c r="B2468" t="s">
        <v>65</v>
      </c>
      <c r="M2468">
        <v>25.376647834274948</v>
      </c>
    </row>
    <row r="2469" spans="1:13" x14ac:dyDescent="0.35">
      <c r="A2469" t="s">
        <v>26</v>
      </c>
      <c r="B2469" t="s">
        <v>66</v>
      </c>
      <c r="M2469">
        <v>24.340866290018827</v>
      </c>
    </row>
    <row r="2470" spans="1:13" x14ac:dyDescent="0.35">
      <c r="A2470" t="s">
        <v>26</v>
      </c>
      <c r="B2470" t="s">
        <v>47</v>
      </c>
      <c r="M2470">
        <v>168.43054968619722</v>
      </c>
    </row>
    <row r="2471" spans="1:13" x14ac:dyDescent="0.35">
      <c r="A2471" t="s">
        <v>27</v>
      </c>
      <c r="B2471" t="s">
        <v>72</v>
      </c>
      <c r="M2471">
        <v>8.6548745372274798</v>
      </c>
    </row>
    <row r="2472" spans="1:13" x14ac:dyDescent="0.35">
      <c r="A2472" t="s">
        <v>27</v>
      </c>
      <c r="B2472" t="s">
        <v>61</v>
      </c>
      <c r="M2472">
        <v>23.584533113944882</v>
      </c>
    </row>
    <row r="2473" spans="1:13" x14ac:dyDescent="0.35">
      <c r="A2473" t="s">
        <v>27</v>
      </c>
      <c r="B2473" t="s">
        <v>62</v>
      </c>
      <c r="M2473">
        <v>22.719045660222129</v>
      </c>
    </row>
    <row r="2474" spans="1:13" x14ac:dyDescent="0.35">
      <c r="A2474" t="s">
        <v>27</v>
      </c>
      <c r="B2474" t="s">
        <v>63</v>
      </c>
      <c r="M2474">
        <v>22.286301933360757</v>
      </c>
    </row>
    <row r="2475" spans="1:13" x14ac:dyDescent="0.35">
      <c r="A2475" t="s">
        <v>27</v>
      </c>
      <c r="B2475" t="s">
        <v>64</v>
      </c>
      <c r="M2475">
        <v>21.853558206499383</v>
      </c>
    </row>
    <row r="2476" spans="1:13" x14ac:dyDescent="0.35">
      <c r="A2476" t="s">
        <v>27</v>
      </c>
      <c r="B2476" t="s">
        <v>65</v>
      </c>
      <c r="M2476">
        <v>21.204442616207324</v>
      </c>
    </row>
    <row r="2477" spans="1:13" x14ac:dyDescent="0.35">
      <c r="A2477" t="s">
        <v>27</v>
      </c>
      <c r="B2477" t="s">
        <v>66</v>
      </c>
      <c r="M2477">
        <v>20.338955162484574</v>
      </c>
    </row>
    <row r="2478" spans="1:13" x14ac:dyDescent="0.35">
      <c r="A2478" t="s">
        <v>27</v>
      </c>
      <c r="B2478" t="s">
        <v>47</v>
      </c>
      <c r="M2478">
        <v>140.63728158410075</v>
      </c>
    </row>
    <row r="2479" spans="1:13" x14ac:dyDescent="0.35">
      <c r="A2479" t="s">
        <v>28</v>
      </c>
      <c r="B2479" t="s">
        <v>72</v>
      </c>
      <c r="M2479">
        <v>2.3502653525398034</v>
      </c>
    </row>
    <row r="2480" spans="1:13" x14ac:dyDescent="0.35">
      <c r="A2480" t="s">
        <v>28</v>
      </c>
      <c r="B2480" t="s">
        <v>61</v>
      </c>
      <c r="M2480">
        <v>6.4044730856709631</v>
      </c>
    </row>
    <row r="2481" spans="1:14" x14ac:dyDescent="0.35">
      <c r="A2481" t="s">
        <v>28</v>
      </c>
      <c r="B2481" t="s">
        <v>62</v>
      </c>
      <c r="M2481">
        <v>6.169446550416982</v>
      </c>
    </row>
    <row r="2482" spans="1:14" x14ac:dyDescent="0.35">
      <c r="A2482" t="s">
        <v>28</v>
      </c>
      <c r="B2482" t="s">
        <v>63</v>
      </c>
      <c r="M2482">
        <v>6.0519332827899923</v>
      </c>
    </row>
    <row r="2483" spans="1:14" x14ac:dyDescent="0.35">
      <c r="A2483" t="s">
        <v>28</v>
      </c>
      <c r="B2483" t="s">
        <v>64</v>
      </c>
      <c r="M2483">
        <v>5.9344200151630018</v>
      </c>
    </row>
    <row r="2484" spans="1:14" x14ac:dyDescent="0.35">
      <c r="A2484" t="s">
        <v>28</v>
      </c>
      <c r="B2484" t="s">
        <v>65</v>
      </c>
      <c r="M2484">
        <v>5.7581501137225182</v>
      </c>
    </row>
    <row r="2485" spans="1:14" x14ac:dyDescent="0.35">
      <c r="A2485" t="s">
        <v>28</v>
      </c>
      <c r="B2485" t="s">
        <v>66</v>
      </c>
      <c r="M2485">
        <v>5.5231235784685371</v>
      </c>
    </row>
    <row r="2486" spans="1:14" x14ac:dyDescent="0.35">
      <c r="A2486" t="s">
        <v>28</v>
      </c>
      <c r="B2486" t="s">
        <v>47</v>
      </c>
      <c r="M2486">
        <v>37.946951387451243</v>
      </c>
    </row>
    <row r="2487" spans="1:14" x14ac:dyDescent="0.35">
      <c r="A2487" t="s">
        <v>29</v>
      </c>
      <c r="B2487" t="s">
        <v>72</v>
      </c>
      <c r="M2487">
        <v>8.9330267817199687</v>
      </c>
    </row>
    <row r="2488" spans="1:14" x14ac:dyDescent="0.35">
      <c r="A2488" t="s">
        <v>29</v>
      </c>
      <c r="B2488" t="s">
        <v>61</v>
      </c>
      <c r="M2488">
        <v>24.342497980186913</v>
      </c>
    </row>
    <row r="2489" spans="1:14" x14ac:dyDescent="0.35">
      <c r="A2489" t="s">
        <v>29</v>
      </c>
      <c r="B2489" t="s">
        <v>62</v>
      </c>
      <c r="M2489">
        <v>23.449195302014918</v>
      </c>
    </row>
    <row r="2490" spans="1:14" x14ac:dyDescent="0.35">
      <c r="A2490" t="s">
        <v>29</v>
      </c>
      <c r="B2490" t="s">
        <v>63</v>
      </c>
      <c r="M2490">
        <v>23.002543962928918</v>
      </c>
    </row>
    <row r="2491" spans="1:14" x14ac:dyDescent="0.35">
      <c r="A2491" t="s">
        <v>29</v>
      </c>
      <c r="B2491" t="s">
        <v>64</v>
      </c>
      <c r="M2491">
        <v>22.555892623842926</v>
      </c>
    </row>
    <row r="2492" spans="1:14" x14ac:dyDescent="0.35">
      <c r="A2492" t="s">
        <v>29</v>
      </c>
      <c r="B2492" t="s">
        <v>65</v>
      </c>
      <c r="M2492">
        <v>21.885915615213914</v>
      </c>
    </row>
    <row r="2493" spans="1:14" x14ac:dyDescent="0.35">
      <c r="A2493" t="s">
        <v>29</v>
      </c>
      <c r="B2493" t="s">
        <v>66</v>
      </c>
      <c r="M2493">
        <v>20.992612937041923</v>
      </c>
    </row>
    <row r="2494" spans="1:14" x14ac:dyDescent="0.35">
      <c r="A2494" t="s">
        <v>29</v>
      </c>
      <c r="B2494" t="s">
        <v>47</v>
      </c>
      <c r="M2494">
        <v>144.66980785623824</v>
      </c>
    </row>
    <row r="2495" spans="1:14" x14ac:dyDescent="0.35">
      <c r="A2495" t="s">
        <v>2</v>
      </c>
      <c r="B2495" t="s">
        <v>72</v>
      </c>
      <c r="N2495">
        <v>10.965718124559288</v>
      </c>
    </row>
    <row r="2496" spans="1:14" x14ac:dyDescent="0.35">
      <c r="A2496" t="s">
        <v>2</v>
      </c>
      <c r="B2496" t="s">
        <v>61</v>
      </c>
      <c r="N2496">
        <v>29.881581889424055</v>
      </c>
    </row>
    <row r="2497" spans="1:14" x14ac:dyDescent="0.35">
      <c r="A2497" t="s">
        <v>2</v>
      </c>
      <c r="B2497" t="s">
        <v>62</v>
      </c>
      <c r="N2497">
        <v>28.785010076968131</v>
      </c>
    </row>
    <row r="2498" spans="1:14" x14ac:dyDescent="0.35">
      <c r="A2498" t="s">
        <v>2</v>
      </c>
      <c r="B2498" t="s">
        <v>63</v>
      </c>
      <c r="N2498">
        <v>28.236724170740167</v>
      </c>
    </row>
    <row r="2499" spans="1:14" x14ac:dyDescent="0.35">
      <c r="A2499" t="s">
        <v>2</v>
      </c>
      <c r="B2499" t="s">
        <v>64</v>
      </c>
      <c r="N2499">
        <v>27.6884382645122</v>
      </c>
    </row>
    <row r="2500" spans="1:14" x14ac:dyDescent="0.35">
      <c r="A2500" t="s">
        <v>2</v>
      </c>
      <c r="B2500" t="s">
        <v>65</v>
      </c>
      <c r="N2500">
        <v>26.866009405170253</v>
      </c>
    </row>
    <row r="2501" spans="1:14" x14ac:dyDescent="0.35">
      <c r="A2501" t="s">
        <v>2</v>
      </c>
      <c r="B2501" t="s">
        <v>66</v>
      </c>
      <c r="N2501">
        <v>25.769437592714326</v>
      </c>
    </row>
    <row r="2502" spans="1:14" x14ac:dyDescent="0.35">
      <c r="A2502" t="s">
        <v>2</v>
      </c>
      <c r="B2502" t="s">
        <v>47</v>
      </c>
      <c r="N2502">
        <v>178.34054189036459</v>
      </c>
    </row>
    <row r="2503" spans="1:14" x14ac:dyDescent="0.35">
      <c r="A2503" t="s">
        <v>3</v>
      </c>
      <c r="B2503" t="s">
        <v>72</v>
      </c>
      <c r="N2503">
        <v>23.2274293325736</v>
      </c>
    </row>
    <row r="2504" spans="1:14" x14ac:dyDescent="0.35">
      <c r="A2504" t="s">
        <v>3</v>
      </c>
      <c r="B2504" t="s">
        <v>61</v>
      </c>
      <c r="N2504">
        <v>63.294744931263061</v>
      </c>
    </row>
    <row r="2505" spans="1:14" x14ac:dyDescent="0.35">
      <c r="A2505" t="s">
        <v>3</v>
      </c>
      <c r="B2505" t="s">
        <v>62</v>
      </c>
      <c r="N2505">
        <v>60.972001998005702</v>
      </c>
    </row>
    <row r="2506" spans="1:14" x14ac:dyDescent="0.35">
      <c r="A2506" t="s">
        <v>3</v>
      </c>
      <c r="B2506" t="s">
        <v>63</v>
      </c>
      <c r="N2506">
        <v>59.810630531377015</v>
      </c>
    </row>
    <row r="2507" spans="1:14" x14ac:dyDescent="0.35">
      <c r="A2507" t="s">
        <v>3</v>
      </c>
      <c r="B2507" t="s">
        <v>64</v>
      </c>
      <c r="N2507">
        <v>58.649259064748342</v>
      </c>
    </row>
    <row r="2508" spans="1:14" x14ac:dyDescent="0.35">
      <c r="A2508" t="s">
        <v>3</v>
      </c>
      <c r="B2508" t="s">
        <v>65</v>
      </c>
      <c r="N2508">
        <v>56.907201864805316</v>
      </c>
    </row>
    <row r="2509" spans="1:14" x14ac:dyDescent="0.35">
      <c r="A2509" t="s">
        <v>3</v>
      </c>
      <c r="B2509" t="s">
        <v>66</v>
      </c>
      <c r="N2509">
        <v>54.584458931547957</v>
      </c>
    </row>
    <row r="2510" spans="1:14" x14ac:dyDescent="0.35">
      <c r="A2510" t="s">
        <v>3</v>
      </c>
      <c r="B2510" t="s">
        <v>47</v>
      </c>
      <c r="N2510">
        <v>377.95351386110633</v>
      </c>
    </row>
    <row r="2511" spans="1:14" x14ac:dyDescent="0.35">
      <c r="A2511" t="s">
        <v>4</v>
      </c>
      <c r="B2511" t="s">
        <v>72</v>
      </c>
      <c r="N2511">
        <v>39.876754427958673</v>
      </c>
    </row>
    <row r="2512" spans="1:14" x14ac:dyDescent="0.35">
      <c r="A2512" t="s">
        <v>4</v>
      </c>
      <c r="B2512" t="s">
        <v>61</v>
      </c>
      <c r="N2512">
        <v>108.66415581618739</v>
      </c>
    </row>
    <row r="2513" spans="1:14" x14ac:dyDescent="0.35">
      <c r="A2513" t="s">
        <v>4</v>
      </c>
      <c r="B2513" t="s">
        <v>62</v>
      </c>
      <c r="N2513">
        <v>104.67648037339153</v>
      </c>
    </row>
    <row r="2514" spans="1:14" x14ac:dyDescent="0.35">
      <c r="A2514" t="s">
        <v>4</v>
      </c>
      <c r="B2514" t="s">
        <v>63</v>
      </c>
      <c r="N2514">
        <v>102.68264265199359</v>
      </c>
    </row>
    <row r="2515" spans="1:14" x14ac:dyDescent="0.35">
      <c r="A2515" t="s">
        <v>4</v>
      </c>
      <c r="B2515" t="s">
        <v>64</v>
      </c>
      <c r="N2515">
        <v>100.68880493059567</v>
      </c>
    </row>
    <row r="2516" spans="1:14" x14ac:dyDescent="0.35">
      <c r="A2516" t="s">
        <v>4</v>
      </c>
      <c r="B2516" t="s">
        <v>65</v>
      </c>
      <c r="N2516">
        <v>97.698048348498759</v>
      </c>
    </row>
    <row r="2517" spans="1:14" x14ac:dyDescent="0.35">
      <c r="A2517" t="s">
        <v>4</v>
      </c>
      <c r="B2517" t="s">
        <v>66</v>
      </c>
      <c r="N2517">
        <v>93.710372905702883</v>
      </c>
    </row>
    <row r="2518" spans="1:14" x14ac:dyDescent="0.35">
      <c r="A2518" t="s">
        <v>4</v>
      </c>
      <c r="B2518" t="s">
        <v>47</v>
      </c>
      <c r="N2518">
        <v>647.21792274620566</v>
      </c>
    </row>
    <row r="2519" spans="1:14" x14ac:dyDescent="0.35">
      <c r="A2519" t="s">
        <v>5</v>
      </c>
      <c r="B2519" t="s">
        <v>72</v>
      </c>
      <c r="N2519">
        <v>48.536835067369395</v>
      </c>
    </row>
    <row r="2520" spans="1:14" x14ac:dyDescent="0.35">
      <c r="A2520" t="s">
        <v>5</v>
      </c>
      <c r="B2520" t="s">
        <v>61</v>
      </c>
      <c r="N2520">
        <v>132.26287555858158</v>
      </c>
    </row>
    <row r="2521" spans="1:14" x14ac:dyDescent="0.35">
      <c r="A2521" t="s">
        <v>5</v>
      </c>
      <c r="B2521" t="s">
        <v>62</v>
      </c>
      <c r="N2521">
        <v>127.40919205184466</v>
      </c>
    </row>
    <row r="2522" spans="1:14" x14ac:dyDescent="0.35">
      <c r="A2522" t="s">
        <v>5</v>
      </c>
      <c r="B2522" t="s">
        <v>63</v>
      </c>
      <c r="N2522">
        <v>124.98235029847618</v>
      </c>
    </row>
    <row r="2523" spans="1:14" x14ac:dyDescent="0.35">
      <c r="A2523" t="s">
        <v>5</v>
      </c>
      <c r="B2523" t="s">
        <v>64</v>
      </c>
      <c r="N2523">
        <v>122.55550854510771</v>
      </c>
    </row>
    <row r="2524" spans="1:14" x14ac:dyDescent="0.35">
      <c r="A2524" t="s">
        <v>5</v>
      </c>
      <c r="B2524" t="s">
        <v>65</v>
      </c>
      <c r="N2524">
        <v>118.91524591505501</v>
      </c>
    </row>
    <row r="2525" spans="1:14" x14ac:dyDescent="0.35">
      <c r="A2525" t="s">
        <v>5</v>
      </c>
      <c r="B2525" t="s">
        <v>66</v>
      </c>
      <c r="N2525">
        <v>114.06156240831807</v>
      </c>
    </row>
    <row r="2526" spans="1:14" x14ac:dyDescent="0.35">
      <c r="A2526" t="s">
        <v>5</v>
      </c>
      <c r="B2526" t="s">
        <v>47</v>
      </c>
      <c r="N2526">
        <v>790.01949022145061</v>
      </c>
    </row>
    <row r="2527" spans="1:14" x14ac:dyDescent="0.35">
      <c r="A2527" t="s">
        <v>6</v>
      </c>
      <c r="B2527" t="s">
        <v>72</v>
      </c>
      <c r="N2527">
        <v>24.795130236421571</v>
      </c>
    </row>
    <row r="2528" spans="1:14" x14ac:dyDescent="0.35">
      <c r="A2528" t="s">
        <v>6</v>
      </c>
      <c r="B2528" t="s">
        <v>61</v>
      </c>
      <c r="N2528">
        <v>67.56672989424878</v>
      </c>
    </row>
    <row r="2529" spans="1:14" x14ac:dyDescent="0.35">
      <c r="A2529" t="s">
        <v>6</v>
      </c>
      <c r="B2529" t="s">
        <v>62</v>
      </c>
      <c r="N2529">
        <v>65.087216870606625</v>
      </c>
    </row>
    <row r="2530" spans="1:14" x14ac:dyDescent="0.35">
      <c r="A2530" t="s">
        <v>6</v>
      </c>
      <c r="B2530" t="s">
        <v>63</v>
      </c>
      <c r="N2530">
        <v>63.847460358785554</v>
      </c>
    </row>
    <row r="2531" spans="1:14" x14ac:dyDescent="0.35">
      <c r="A2531" t="s">
        <v>6</v>
      </c>
      <c r="B2531" t="s">
        <v>64</v>
      </c>
      <c r="N2531">
        <v>62.607703846964469</v>
      </c>
    </row>
    <row r="2532" spans="1:14" x14ac:dyDescent="0.35">
      <c r="A2532" t="s">
        <v>6</v>
      </c>
      <c r="B2532" t="s">
        <v>65</v>
      </c>
      <c r="N2532">
        <v>60.748069079232856</v>
      </c>
    </row>
    <row r="2533" spans="1:14" x14ac:dyDescent="0.35">
      <c r="A2533" t="s">
        <v>6</v>
      </c>
      <c r="B2533" t="s">
        <v>66</v>
      </c>
      <c r="N2533">
        <v>58.268556055590693</v>
      </c>
    </row>
    <row r="2534" spans="1:14" x14ac:dyDescent="0.35">
      <c r="A2534" t="s">
        <v>6</v>
      </c>
      <c r="B2534" t="s">
        <v>47</v>
      </c>
      <c r="N2534">
        <v>406.40119553269767</v>
      </c>
    </row>
    <row r="2535" spans="1:14" x14ac:dyDescent="0.35">
      <c r="A2535" t="s">
        <v>7</v>
      </c>
      <c r="B2535" t="s">
        <v>72</v>
      </c>
      <c r="N2535">
        <v>36.721735432392599</v>
      </c>
    </row>
    <row r="2536" spans="1:14" x14ac:dyDescent="0.35">
      <c r="A2536" t="s">
        <v>7</v>
      </c>
      <c r="B2536" t="s">
        <v>61</v>
      </c>
      <c r="N2536">
        <v>100.06672905326984</v>
      </c>
    </row>
    <row r="2537" spans="1:14" x14ac:dyDescent="0.35">
      <c r="A2537" t="s">
        <v>7</v>
      </c>
      <c r="B2537" t="s">
        <v>62</v>
      </c>
      <c r="N2537">
        <v>96.394555510030571</v>
      </c>
    </row>
    <row r="2538" spans="1:14" x14ac:dyDescent="0.35">
      <c r="A2538" t="s">
        <v>7</v>
      </c>
      <c r="B2538" t="s">
        <v>63</v>
      </c>
      <c r="N2538">
        <v>94.558468738410951</v>
      </c>
    </row>
    <row r="2539" spans="1:14" x14ac:dyDescent="0.35">
      <c r="A2539" t="s">
        <v>7</v>
      </c>
      <c r="B2539" t="s">
        <v>64</v>
      </c>
      <c r="N2539">
        <v>92.722381966791303</v>
      </c>
    </row>
    <row r="2540" spans="1:14" x14ac:dyDescent="0.35">
      <c r="A2540" t="s">
        <v>7</v>
      </c>
      <c r="B2540" t="s">
        <v>65</v>
      </c>
      <c r="N2540">
        <v>89.968251809361874</v>
      </c>
    </row>
    <row r="2541" spans="1:14" x14ac:dyDescent="0.35">
      <c r="A2541" t="s">
        <v>7</v>
      </c>
      <c r="B2541" t="s">
        <v>66</v>
      </c>
      <c r="N2541">
        <v>86.296078266122606</v>
      </c>
    </row>
    <row r="2542" spans="1:14" x14ac:dyDescent="0.35">
      <c r="A2542" t="s">
        <v>7</v>
      </c>
      <c r="B2542" t="s">
        <v>47</v>
      </c>
      <c r="N2542">
        <v>597.35341639624039</v>
      </c>
    </row>
    <row r="2543" spans="1:14" x14ac:dyDescent="0.35">
      <c r="A2543" t="s">
        <v>8</v>
      </c>
      <c r="B2543" t="s">
        <v>72</v>
      </c>
      <c r="N2543">
        <v>9.3481787706203328</v>
      </c>
    </row>
    <row r="2544" spans="1:14" x14ac:dyDescent="0.35">
      <c r="A2544" t="s">
        <v>8</v>
      </c>
      <c r="B2544" t="s">
        <v>61</v>
      </c>
      <c r="N2544">
        <v>25.473787149940406</v>
      </c>
    </row>
    <row r="2545" spans="1:14" x14ac:dyDescent="0.35">
      <c r="A2545" t="s">
        <v>8</v>
      </c>
      <c r="B2545" t="s">
        <v>62</v>
      </c>
      <c r="N2545">
        <v>24.538969272878372</v>
      </c>
    </row>
    <row r="2546" spans="1:14" x14ac:dyDescent="0.35">
      <c r="A2546" t="s">
        <v>8</v>
      </c>
      <c r="B2546" t="s">
        <v>63</v>
      </c>
      <c r="N2546">
        <v>24.071560334347357</v>
      </c>
    </row>
    <row r="2547" spans="1:14" x14ac:dyDescent="0.35">
      <c r="A2547" t="s">
        <v>8</v>
      </c>
      <c r="B2547" t="s">
        <v>64</v>
      </c>
      <c r="N2547">
        <v>23.604151395816341</v>
      </c>
    </row>
    <row r="2548" spans="1:14" x14ac:dyDescent="0.35">
      <c r="A2548" t="s">
        <v>8</v>
      </c>
      <c r="B2548" t="s">
        <v>65</v>
      </c>
      <c r="N2548">
        <v>22.903037988019815</v>
      </c>
    </row>
    <row r="2549" spans="1:14" x14ac:dyDescent="0.35">
      <c r="A2549" t="s">
        <v>8</v>
      </c>
      <c r="B2549" t="s">
        <v>66</v>
      </c>
      <c r="N2549">
        <v>21.96822011095778</v>
      </c>
    </row>
    <row r="2550" spans="1:14" x14ac:dyDescent="0.35">
      <c r="A2550" t="s">
        <v>8</v>
      </c>
      <c r="B2550" t="s">
        <v>47</v>
      </c>
      <c r="N2550">
        <v>151.91515567736633</v>
      </c>
    </row>
    <row r="2551" spans="1:14" x14ac:dyDescent="0.35">
      <c r="A2551" t="s">
        <v>9</v>
      </c>
      <c r="B2551" t="s">
        <v>72</v>
      </c>
      <c r="N2551">
        <v>17.455347239798087</v>
      </c>
    </row>
    <row r="2552" spans="1:14" x14ac:dyDescent="0.35">
      <c r="A2552" t="s">
        <v>9</v>
      </c>
      <c r="B2552" t="s">
        <v>61</v>
      </c>
      <c r="N2552">
        <v>47.565821228449785</v>
      </c>
    </row>
    <row r="2553" spans="1:14" x14ac:dyDescent="0.35">
      <c r="A2553" t="s">
        <v>9</v>
      </c>
      <c r="B2553" t="s">
        <v>62</v>
      </c>
      <c r="N2553">
        <v>45.820286504469983</v>
      </c>
    </row>
    <row r="2554" spans="1:14" x14ac:dyDescent="0.35">
      <c r="A2554" t="s">
        <v>9</v>
      </c>
      <c r="B2554" t="s">
        <v>63</v>
      </c>
      <c r="N2554">
        <v>44.947519142480068</v>
      </c>
    </row>
    <row r="2555" spans="1:14" x14ac:dyDescent="0.35">
      <c r="A2555" t="s">
        <v>9</v>
      </c>
      <c r="B2555" t="s">
        <v>64</v>
      </c>
      <c r="N2555">
        <v>44.074751780490168</v>
      </c>
    </row>
    <row r="2556" spans="1:14" x14ac:dyDescent="0.35">
      <c r="A2556" t="s">
        <v>9</v>
      </c>
      <c r="B2556" t="s">
        <v>65</v>
      </c>
      <c r="N2556">
        <v>42.765600737505309</v>
      </c>
    </row>
    <row r="2557" spans="1:14" x14ac:dyDescent="0.35">
      <c r="A2557" t="s">
        <v>9</v>
      </c>
      <c r="B2557" t="s">
        <v>66</v>
      </c>
      <c r="N2557">
        <v>41.020066013525501</v>
      </c>
    </row>
    <row r="2558" spans="1:14" x14ac:dyDescent="0.35">
      <c r="A2558" t="s">
        <v>9</v>
      </c>
      <c r="B2558" t="s">
        <v>47</v>
      </c>
      <c r="N2558">
        <v>280.25548745337102</v>
      </c>
    </row>
    <row r="2559" spans="1:14" x14ac:dyDescent="0.35">
      <c r="A2559" t="s">
        <v>10</v>
      </c>
      <c r="B2559" t="s">
        <v>72</v>
      </c>
      <c r="N2559">
        <v>20.099294584869511</v>
      </c>
    </row>
    <row r="2560" spans="1:14" x14ac:dyDescent="0.35">
      <c r="A2560" t="s">
        <v>10</v>
      </c>
      <c r="B2560" t="s">
        <v>61</v>
      </c>
      <c r="N2560">
        <v>54.770577743769408</v>
      </c>
    </row>
    <row r="2561" spans="1:14" x14ac:dyDescent="0.35">
      <c r="A2561" t="s">
        <v>10</v>
      </c>
      <c r="B2561" t="s">
        <v>62</v>
      </c>
      <c r="N2561">
        <v>52.760648285282464</v>
      </c>
    </row>
    <row r="2562" spans="1:14" x14ac:dyDescent="0.35">
      <c r="A2562" t="s">
        <v>10</v>
      </c>
      <c r="B2562" t="s">
        <v>63</v>
      </c>
      <c r="N2562">
        <v>51.755683556038989</v>
      </c>
    </row>
    <row r="2563" spans="1:14" x14ac:dyDescent="0.35">
      <c r="A2563" t="s">
        <v>10</v>
      </c>
      <c r="B2563" t="s">
        <v>64</v>
      </c>
      <c r="N2563">
        <v>50.750718826795513</v>
      </c>
    </row>
    <row r="2564" spans="1:14" x14ac:dyDescent="0.35">
      <c r="A2564" t="s">
        <v>10</v>
      </c>
      <c r="B2564" t="s">
        <v>65</v>
      </c>
      <c r="N2564">
        <v>49.243271732930296</v>
      </c>
    </row>
    <row r="2565" spans="1:14" x14ac:dyDescent="0.35">
      <c r="A2565" t="s">
        <v>10</v>
      </c>
      <c r="B2565" t="s">
        <v>66</v>
      </c>
      <c r="N2565">
        <v>47.233342274443345</v>
      </c>
    </row>
    <row r="2566" spans="1:14" x14ac:dyDescent="0.35">
      <c r="A2566" t="s">
        <v>10</v>
      </c>
      <c r="B2566" t="s">
        <v>47</v>
      </c>
      <c r="N2566">
        <v>196.5655815510984</v>
      </c>
    </row>
    <row r="2567" spans="1:14" x14ac:dyDescent="0.35">
      <c r="A2567" t="s">
        <v>11</v>
      </c>
      <c r="B2567" t="s">
        <v>72</v>
      </c>
      <c r="N2567">
        <v>16.035077747884749</v>
      </c>
    </row>
    <row r="2568" spans="1:14" x14ac:dyDescent="0.35">
      <c r="A2568" t="s">
        <v>11</v>
      </c>
      <c r="B2568" t="s">
        <v>61</v>
      </c>
      <c r="N2568">
        <v>43.695586862985934</v>
      </c>
    </row>
    <row r="2569" spans="1:14" x14ac:dyDescent="0.35">
      <c r="A2569" t="s">
        <v>11</v>
      </c>
      <c r="B2569" t="s">
        <v>62</v>
      </c>
      <c r="N2569">
        <v>42.092079088197465</v>
      </c>
    </row>
    <row r="2570" spans="1:14" x14ac:dyDescent="0.35">
      <c r="A2570" t="s">
        <v>11</v>
      </c>
      <c r="B2570" t="s">
        <v>63</v>
      </c>
      <c r="N2570">
        <v>41.290325200803224</v>
      </c>
    </row>
    <row r="2571" spans="1:14" x14ac:dyDescent="0.35">
      <c r="A2571" t="s">
        <v>11</v>
      </c>
      <c r="B2571" t="s">
        <v>64</v>
      </c>
      <c r="N2571">
        <v>40.48857131340899</v>
      </c>
    </row>
    <row r="2572" spans="1:14" x14ac:dyDescent="0.35">
      <c r="A2572" t="s">
        <v>11</v>
      </c>
      <c r="B2572" t="s">
        <v>65</v>
      </c>
      <c r="N2572">
        <v>39.285940482317628</v>
      </c>
    </row>
    <row r="2573" spans="1:14" x14ac:dyDescent="0.35">
      <c r="A2573" t="s">
        <v>11</v>
      </c>
      <c r="B2573" t="s">
        <v>66</v>
      </c>
      <c r="N2573">
        <v>37.682432707529152</v>
      </c>
    </row>
    <row r="2574" spans="1:14" x14ac:dyDescent="0.35">
      <c r="A2574" t="s">
        <v>11</v>
      </c>
      <c r="B2574" t="s">
        <v>47</v>
      </c>
      <c r="N2574">
        <v>260.68913716204958</v>
      </c>
    </row>
    <row r="2575" spans="1:14" x14ac:dyDescent="0.35">
      <c r="A2575" t="s">
        <v>12</v>
      </c>
      <c r="B2575" t="s">
        <v>72</v>
      </c>
      <c r="N2575">
        <v>9.1928184685852141</v>
      </c>
    </row>
    <row r="2576" spans="1:14" x14ac:dyDescent="0.35">
      <c r="A2576" t="s">
        <v>12</v>
      </c>
      <c r="B2576" t="s">
        <v>61</v>
      </c>
      <c r="N2576">
        <v>25.050430326894709</v>
      </c>
    </row>
    <row r="2577" spans="1:14" x14ac:dyDescent="0.35">
      <c r="A2577" t="s">
        <v>12</v>
      </c>
      <c r="B2577" t="s">
        <v>62</v>
      </c>
      <c r="N2577">
        <v>24.131148480036192</v>
      </c>
    </row>
    <row r="2578" spans="1:14" x14ac:dyDescent="0.35">
      <c r="A2578" t="s">
        <v>12</v>
      </c>
      <c r="B2578" t="s">
        <v>63</v>
      </c>
      <c r="N2578">
        <v>23.671507556606926</v>
      </c>
    </row>
    <row r="2579" spans="1:14" x14ac:dyDescent="0.35">
      <c r="A2579" t="s">
        <v>12</v>
      </c>
      <c r="B2579" t="s">
        <v>64</v>
      </c>
      <c r="N2579">
        <v>23.211866633177667</v>
      </c>
    </row>
    <row r="2580" spans="1:14" x14ac:dyDescent="0.35">
      <c r="A2580" t="s">
        <v>12</v>
      </c>
      <c r="B2580" t="s">
        <v>65</v>
      </c>
      <c r="N2580">
        <v>22.522405248033774</v>
      </c>
    </row>
    <row r="2581" spans="1:14" x14ac:dyDescent="0.35">
      <c r="A2581" t="s">
        <v>12</v>
      </c>
      <c r="B2581" t="s">
        <v>66</v>
      </c>
      <c r="N2581">
        <v>21.603123401175257</v>
      </c>
    </row>
    <row r="2582" spans="1:14" x14ac:dyDescent="0.35">
      <c r="A2582" t="s">
        <v>12</v>
      </c>
      <c r="B2582" t="s">
        <v>47</v>
      </c>
      <c r="N2582">
        <v>149.41628633581007</v>
      </c>
    </row>
    <row r="2583" spans="1:14" x14ac:dyDescent="0.35">
      <c r="A2583" t="s">
        <v>13</v>
      </c>
      <c r="B2583" t="s">
        <v>72</v>
      </c>
      <c r="N2583">
        <v>40.736960298785753</v>
      </c>
    </row>
    <row r="2584" spans="1:14" x14ac:dyDescent="0.35">
      <c r="A2584" t="s">
        <v>13</v>
      </c>
      <c r="B2584" t="s">
        <v>61</v>
      </c>
      <c r="N2584">
        <v>111.00821681419119</v>
      </c>
    </row>
    <row r="2585" spans="1:14" x14ac:dyDescent="0.35">
      <c r="A2585" t="s">
        <v>13</v>
      </c>
      <c r="B2585" t="s">
        <v>62</v>
      </c>
      <c r="N2585">
        <v>106.93452078431262</v>
      </c>
    </row>
    <row r="2586" spans="1:14" x14ac:dyDescent="0.35">
      <c r="A2586" t="s">
        <v>13</v>
      </c>
      <c r="B2586" t="s">
        <v>63</v>
      </c>
      <c r="N2586">
        <v>104.89767276937332</v>
      </c>
    </row>
    <row r="2587" spans="1:14" x14ac:dyDescent="0.35">
      <c r="A2587" t="s">
        <v>13</v>
      </c>
      <c r="B2587" t="s">
        <v>64</v>
      </c>
      <c r="N2587">
        <v>102.86082475443403</v>
      </c>
    </row>
    <row r="2588" spans="1:14" x14ac:dyDescent="0.35">
      <c r="A2588" t="s">
        <v>13</v>
      </c>
      <c r="B2588" t="s">
        <v>65</v>
      </c>
      <c r="N2588">
        <v>99.80555273202512</v>
      </c>
    </row>
    <row r="2589" spans="1:14" x14ac:dyDescent="0.35">
      <c r="A2589" t="s">
        <v>13</v>
      </c>
      <c r="B2589" t="s">
        <v>66</v>
      </c>
      <c r="N2589">
        <v>95.73185670214653</v>
      </c>
    </row>
    <row r="2590" spans="1:14" x14ac:dyDescent="0.35">
      <c r="A2590" t="s">
        <v>13</v>
      </c>
      <c r="B2590" t="s">
        <v>47</v>
      </c>
      <c r="N2590">
        <v>661.76225390679679</v>
      </c>
    </row>
    <row r="2591" spans="1:14" x14ac:dyDescent="0.35">
      <c r="A2591" t="s">
        <v>14</v>
      </c>
      <c r="B2591" t="s">
        <v>72</v>
      </c>
      <c r="N2591">
        <v>45.805697260593547</v>
      </c>
    </row>
    <row r="2592" spans="1:14" x14ac:dyDescent="0.35">
      <c r="A2592" t="s">
        <v>14</v>
      </c>
      <c r="B2592" t="s">
        <v>61</v>
      </c>
      <c r="N2592">
        <v>124.82052503511741</v>
      </c>
    </row>
    <row r="2593" spans="1:14" x14ac:dyDescent="0.35">
      <c r="A2593" t="s">
        <v>14</v>
      </c>
      <c r="B2593" t="s">
        <v>62</v>
      </c>
      <c r="N2593">
        <v>120.23995530905806</v>
      </c>
    </row>
    <row r="2594" spans="1:14" x14ac:dyDescent="0.35">
      <c r="A2594" t="s">
        <v>14</v>
      </c>
      <c r="B2594" t="s">
        <v>63</v>
      </c>
      <c r="N2594">
        <v>117.94967044602839</v>
      </c>
    </row>
    <row r="2595" spans="1:14" x14ac:dyDescent="0.35">
      <c r="A2595" t="s">
        <v>14</v>
      </c>
      <c r="B2595" t="s">
        <v>64</v>
      </c>
      <c r="N2595">
        <v>115.65938558299872</v>
      </c>
    </row>
    <row r="2596" spans="1:14" x14ac:dyDescent="0.35">
      <c r="A2596" t="s">
        <v>14</v>
      </c>
      <c r="B2596" t="s">
        <v>65</v>
      </c>
      <c r="N2596">
        <v>112.22395828845418</v>
      </c>
    </row>
    <row r="2597" spans="1:14" x14ac:dyDescent="0.35">
      <c r="A2597" t="s">
        <v>14</v>
      </c>
      <c r="B2597" t="s">
        <v>66</v>
      </c>
      <c r="N2597">
        <v>107.64338856239483</v>
      </c>
    </row>
    <row r="2598" spans="1:14" x14ac:dyDescent="0.35">
      <c r="A2598" t="s">
        <v>14</v>
      </c>
      <c r="B2598" t="s">
        <v>47</v>
      </c>
      <c r="N2598">
        <v>744.73086420157722</v>
      </c>
    </row>
    <row r="2599" spans="1:14" x14ac:dyDescent="0.35">
      <c r="A2599" t="s">
        <v>15</v>
      </c>
      <c r="B2599" t="s">
        <v>72</v>
      </c>
      <c r="N2599">
        <v>19.858469365561557</v>
      </c>
    </row>
    <row r="2600" spans="1:14" x14ac:dyDescent="0.35">
      <c r="A2600" t="s">
        <v>15</v>
      </c>
      <c r="B2600" t="s">
        <v>61</v>
      </c>
      <c r="N2600">
        <v>54.114329021155243</v>
      </c>
    </row>
    <row r="2601" spans="1:14" x14ac:dyDescent="0.35">
      <c r="A2601" t="s">
        <v>15</v>
      </c>
      <c r="B2601" t="s">
        <v>62</v>
      </c>
      <c r="N2601">
        <v>52.128482084599085</v>
      </c>
    </row>
    <row r="2602" spans="1:14" x14ac:dyDescent="0.35">
      <c r="A2602" t="s">
        <v>15</v>
      </c>
      <c r="B2602" t="s">
        <v>63</v>
      </c>
      <c r="N2602">
        <v>51.135558616321006</v>
      </c>
    </row>
    <row r="2603" spans="1:14" x14ac:dyDescent="0.35">
      <c r="A2603" t="s">
        <v>15</v>
      </c>
      <c r="B2603" t="s">
        <v>64</v>
      </c>
      <c r="N2603">
        <v>50.142635148042935</v>
      </c>
    </row>
    <row r="2604" spans="1:14" x14ac:dyDescent="0.35">
      <c r="A2604" t="s">
        <v>15</v>
      </c>
      <c r="B2604" t="s">
        <v>65</v>
      </c>
      <c r="N2604">
        <v>48.653249945625817</v>
      </c>
    </row>
    <row r="2605" spans="1:14" x14ac:dyDescent="0.35">
      <c r="A2605" t="s">
        <v>15</v>
      </c>
      <c r="B2605" t="s">
        <v>66</v>
      </c>
      <c r="N2605">
        <v>46.667403009069659</v>
      </c>
    </row>
    <row r="2606" spans="1:14" x14ac:dyDescent="0.35">
      <c r="A2606" t="s">
        <v>15</v>
      </c>
      <c r="B2606" t="s">
        <v>47</v>
      </c>
      <c r="N2606">
        <v>322.91439191548267</v>
      </c>
    </row>
    <row r="2607" spans="1:14" x14ac:dyDescent="0.35">
      <c r="A2607" t="s">
        <v>16</v>
      </c>
      <c r="B2607" t="s">
        <v>72</v>
      </c>
      <c r="N2607">
        <v>16.075458486649477</v>
      </c>
    </row>
    <row r="2608" spans="1:14" x14ac:dyDescent="0.35">
      <c r="A2608" t="s">
        <v>16</v>
      </c>
      <c r="B2608" t="s">
        <v>61</v>
      </c>
      <c r="N2608">
        <v>43.805624376119823</v>
      </c>
    </row>
    <row r="2609" spans="1:14" x14ac:dyDescent="0.35">
      <c r="A2609" t="s">
        <v>16</v>
      </c>
      <c r="B2609" t="s">
        <v>62</v>
      </c>
      <c r="N2609">
        <v>42.198078527454875</v>
      </c>
    </row>
    <row r="2610" spans="1:14" x14ac:dyDescent="0.35">
      <c r="A2610" t="s">
        <v>16</v>
      </c>
      <c r="B2610" t="s">
        <v>63</v>
      </c>
      <c r="N2610">
        <v>41.394305603122405</v>
      </c>
    </row>
    <row r="2611" spans="1:14" x14ac:dyDescent="0.35">
      <c r="A2611" t="s">
        <v>16</v>
      </c>
      <c r="B2611" t="s">
        <v>64</v>
      </c>
      <c r="N2611">
        <v>40.590532678789927</v>
      </c>
    </row>
    <row r="2612" spans="1:14" x14ac:dyDescent="0.35">
      <c r="A2612" t="s">
        <v>16</v>
      </c>
      <c r="B2612" t="s">
        <v>65</v>
      </c>
      <c r="N2612">
        <v>39.384873292291218</v>
      </c>
    </row>
    <row r="2613" spans="1:14" x14ac:dyDescent="0.35">
      <c r="A2613" t="s">
        <v>16</v>
      </c>
      <c r="B2613" t="s">
        <v>66</v>
      </c>
      <c r="N2613">
        <v>37.777327443626262</v>
      </c>
    </row>
    <row r="2614" spans="1:14" x14ac:dyDescent="0.35">
      <c r="A2614" t="s">
        <v>16</v>
      </c>
      <c r="B2614" t="s">
        <v>47</v>
      </c>
      <c r="N2614">
        <v>261.13217624278678</v>
      </c>
    </row>
    <row r="2615" spans="1:14" x14ac:dyDescent="0.35">
      <c r="A2615" t="s">
        <v>17</v>
      </c>
      <c r="B2615" t="s">
        <v>72</v>
      </c>
      <c r="N2615">
        <v>29.573221233569299</v>
      </c>
    </row>
    <row r="2616" spans="1:14" x14ac:dyDescent="0.35">
      <c r="A2616" t="s">
        <v>17</v>
      </c>
      <c r="B2616" t="s">
        <v>61</v>
      </c>
      <c r="N2616">
        <v>80.587027861476344</v>
      </c>
    </row>
    <row r="2617" spans="1:14" x14ac:dyDescent="0.35">
      <c r="A2617" t="s">
        <v>17</v>
      </c>
      <c r="B2617" t="s">
        <v>62</v>
      </c>
      <c r="N2617">
        <v>77.629705738119426</v>
      </c>
    </row>
    <row r="2618" spans="1:14" x14ac:dyDescent="0.35">
      <c r="A2618" t="s">
        <v>17</v>
      </c>
      <c r="B2618" t="s">
        <v>63</v>
      </c>
      <c r="N2618">
        <v>76.151044676440961</v>
      </c>
    </row>
    <row r="2619" spans="1:14" x14ac:dyDescent="0.35">
      <c r="A2619" t="s">
        <v>17</v>
      </c>
      <c r="B2619" t="s">
        <v>64</v>
      </c>
      <c r="N2619">
        <v>74.672383614762495</v>
      </c>
    </row>
    <row r="2620" spans="1:14" x14ac:dyDescent="0.35">
      <c r="A2620" t="s">
        <v>17</v>
      </c>
      <c r="B2620" t="s">
        <v>65</v>
      </c>
      <c r="N2620">
        <v>72.454392022244775</v>
      </c>
    </row>
    <row r="2621" spans="1:14" x14ac:dyDescent="0.35">
      <c r="A2621" t="s">
        <v>17</v>
      </c>
      <c r="B2621" t="s">
        <v>66</v>
      </c>
      <c r="N2621">
        <v>69.497069898887858</v>
      </c>
    </row>
    <row r="2622" spans="1:14" x14ac:dyDescent="0.35">
      <c r="A2622" t="s">
        <v>17</v>
      </c>
      <c r="B2622" t="s">
        <v>47</v>
      </c>
      <c r="N2622">
        <v>482.83128712984478</v>
      </c>
    </row>
    <row r="2623" spans="1:14" x14ac:dyDescent="0.35">
      <c r="A2623" t="s">
        <v>18</v>
      </c>
      <c r="B2623" t="s">
        <v>72</v>
      </c>
      <c r="N2623">
        <v>29.041458523093294</v>
      </c>
    </row>
    <row r="2624" spans="1:14" x14ac:dyDescent="0.35">
      <c r="A2624" t="s">
        <v>18</v>
      </c>
      <c r="B2624" t="s">
        <v>61</v>
      </c>
      <c r="N2624">
        <v>79.137974475429218</v>
      </c>
    </row>
    <row r="2625" spans="1:14" x14ac:dyDescent="0.35">
      <c r="A2625" t="s">
        <v>18</v>
      </c>
      <c r="B2625" t="s">
        <v>62</v>
      </c>
      <c r="N2625">
        <v>76.233828623119891</v>
      </c>
    </row>
    <row r="2626" spans="1:14" x14ac:dyDescent="0.35">
      <c r="A2626" t="s">
        <v>18</v>
      </c>
      <c r="B2626" t="s">
        <v>63</v>
      </c>
      <c r="N2626">
        <v>74.78175569696522</v>
      </c>
    </row>
    <row r="2627" spans="1:14" x14ac:dyDescent="0.35">
      <c r="A2627" t="s">
        <v>18</v>
      </c>
      <c r="B2627" t="s">
        <v>64</v>
      </c>
      <c r="N2627">
        <v>73.329682770810564</v>
      </c>
    </row>
    <row r="2628" spans="1:14" x14ac:dyDescent="0.35">
      <c r="A2628" t="s">
        <v>18</v>
      </c>
      <c r="B2628" t="s">
        <v>65</v>
      </c>
      <c r="N2628">
        <v>71.151573381578558</v>
      </c>
    </row>
    <row r="2629" spans="1:14" x14ac:dyDescent="0.35">
      <c r="A2629" t="s">
        <v>18</v>
      </c>
      <c r="B2629" t="s">
        <v>66</v>
      </c>
      <c r="N2629">
        <v>68.247427529269231</v>
      </c>
    </row>
    <row r="2630" spans="1:14" x14ac:dyDescent="0.35">
      <c r="A2630" t="s">
        <v>18</v>
      </c>
      <c r="B2630" t="s">
        <v>47</v>
      </c>
      <c r="N2630">
        <v>472.75748041802751</v>
      </c>
    </row>
    <row r="2631" spans="1:14" x14ac:dyDescent="0.35">
      <c r="A2631" t="s">
        <v>19</v>
      </c>
      <c r="B2631" t="s">
        <v>72</v>
      </c>
      <c r="N2631">
        <v>14.138872000791777</v>
      </c>
    </row>
    <row r="2632" spans="1:14" x14ac:dyDescent="0.35">
      <c r="A2632" t="s">
        <v>19</v>
      </c>
      <c r="B2632" t="s">
        <v>61</v>
      </c>
      <c r="N2632">
        <v>38.528426202157597</v>
      </c>
    </row>
    <row r="2633" spans="1:14" x14ac:dyDescent="0.35">
      <c r="A2633" t="s">
        <v>19</v>
      </c>
      <c r="B2633" t="s">
        <v>62</v>
      </c>
      <c r="N2633">
        <v>37.114539002078416</v>
      </c>
    </row>
    <row r="2634" spans="1:14" x14ac:dyDescent="0.35">
      <c r="A2634" t="s">
        <v>19</v>
      </c>
      <c r="B2634" t="s">
        <v>63</v>
      </c>
      <c r="N2634">
        <v>36.407595402038829</v>
      </c>
    </row>
    <row r="2635" spans="1:14" x14ac:dyDescent="0.35">
      <c r="A2635" t="s">
        <v>19</v>
      </c>
      <c r="B2635" t="s">
        <v>64</v>
      </c>
      <c r="N2635">
        <v>35.700651801999236</v>
      </c>
    </row>
    <row r="2636" spans="1:14" x14ac:dyDescent="0.35">
      <c r="A2636" t="s">
        <v>19</v>
      </c>
      <c r="B2636" t="s">
        <v>65</v>
      </c>
      <c r="N2636">
        <v>34.640236401939859</v>
      </c>
    </row>
    <row r="2637" spans="1:14" x14ac:dyDescent="0.35">
      <c r="A2637" t="s">
        <v>19</v>
      </c>
      <c r="B2637" t="s">
        <v>66</v>
      </c>
      <c r="N2637">
        <v>33.226349201860678</v>
      </c>
    </row>
    <row r="2638" spans="1:14" x14ac:dyDescent="0.35">
      <c r="A2638" t="s">
        <v>19</v>
      </c>
      <c r="B2638" t="s">
        <v>47</v>
      </c>
      <c r="N2638">
        <v>233.6714040557161</v>
      </c>
    </row>
    <row r="2639" spans="1:14" x14ac:dyDescent="0.35">
      <c r="A2639" t="s">
        <v>20</v>
      </c>
      <c r="B2639" t="s">
        <v>72</v>
      </c>
      <c r="N2639">
        <v>12.547893330808355</v>
      </c>
    </row>
    <row r="2640" spans="1:14" x14ac:dyDescent="0.35">
      <c r="A2640" t="s">
        <v>20</v>
      </c>
      <c r="B2640" t="s">
        <v>61</v>
      </c>
      <c r="N2640">
        <v>34.193009326452774</v>
      </c>
    </row>
    <row r="2641" spans="1:14" x14ac:dyDescent="0.35">
      <c r="A2641" t="s">
        <v>20</v>
      </c>
      <c r="B2641" t="s">
        <v>62</v>
      </c>
      <c r="N2641">
        <v>32.938219993371938</v>
      </c>
    </row>
    <row r="2642" spans="1:14" x14ac:dyDescent="0.35">
      <c r="A2642" t="s">
        <v>20</v>
      </c>
      <c r="B2642" t="s">
        <v>63</v>
      </c>
      <c r="N2642">
        <v>32.31082532683152</v>
      </c>
    </row>
    <row r="2643" spans="1:14" x14ac:dyDescent="0.35">
      <c r="A2643" t="s">
        <v>20</v>
      </c>
      <c r="B2643" t="s">
        <v>64</v>
      </c>
      <c r="N2643">
        <v>31.683430660291101</v>
      </c>
    </row>
    <row r="2644" spans="1:14" x14ac:dyDescent="0.35">
      <c r="A2644" t="s">
        <v>20</v>
      </c>
      <c r="B2644" t="s">
        <v>65</v>
      </c>
      <c r="N2644">
        <v>30.74233866048047</v>
      </c>
    </row>
    <row r="2645" spans="1:14" x14ac:dyDescent="0.35">
      <c r="A2645" t="s">
        <v>20</v>
      </c>
      <c r="B2645" t="s">
        <v>66</v>
      </c>
      <c r="N2645">
        <v>29.487549327399638</v>
      </c>
    </row>
    <row r="2646" spans="1:14" x14ac:dyDescent="0.35">
      <c r="A2646" t="s">
        <v>20</v>
      </c>
      <c r="B2646" t="s">
        <v>47</v>
      </c>
      <c r="N2646">
        <v>203.90326662563581</v>
      </c>
    </row>
    <row r="2647" spans="1:14" x14ac:dyDescent="0.35">
      <c r="A2647" t="s">
        <v>21</v>
      </c>
      <c r="B2647" t="s">
        <v>72</v>
      </c>
      <c r="N2647">
        <v>7.2576585310991399</v>
      </c>
    </row>
    <row r="2648" spans="1:14" x14ac:dyDescent="0.35">
      <c r="A2648" t="s">
        <v>21</v>
      </c>
      <c r="B2648" t="s">
        <v>61</v>
      </c>
      <c r="N2648">
        <v>19.77711949724516</v>
      </c>
    </row>
    <row r="2649" spans="1:14" x14ac:dyDescent="0.35">
      <c r="A2649" t="s">
        <v>21</v>
      </c>
      <c r="B2649" t="s">
        <v>62</v>
      </c>
      <c r="N2649">
        <v>19.051353644135247</v>
      </c>
    </row>
    <row r="2650" spans="1:14" x14ac:dyDescent="0.35">
      <c r="A2650" t="s">
        <v>21</v>
      </c>
      <c r="B2650" t="s">
        <v>63</v>
      </c>
      <c r="N2650">
        <v>18.688470717580287</v>
      </c>
    </row>
    <row r="2651" spans="1:14" x14ac:dyDescent="0.35">
      <c r="A2651" t="s">
        <v>21</v>
      </c>
      <c r="B2651" t="s">
        <v>64</v>
      </c>
      <c r="N2651">
        <v>18.325587791025328</v>
      </c>
    </row>
    <row r="2652" spans="1:14" x14ac:dyDescent="0.35">
      <c r="A2652" t="s">
        <v>21</v>
      </c>
      <c r="B2652" t="s">
        <v>65</v>
      </c>
      <c r="N2652">
        <v>17.781263401192895</v>
      </c>
    </row>
    <row r="2653" spans="1:14" x14ac:dyDescent="0.35">
      <c r="A2653" t="s">
        <v>21</v>
      </c>
      <c r="B2653" t="s">
        <v>66</v>
      </c>
      <c r="N2653">
        <v>17.055497548082982</v>
      </c>
    </row>
    <row r="2654" spans="1:14" x14ac:dyDescent="0.35">
      <c r="A2654" t="s">
        <v>21</v>
      </c>
      <c r="B2654" t="s">
        <v>47</v>
      </c>
      <c r="N2654">
        <v>117.776305960127</v>
      </c>
    </row>
    <row r="2655" spans="1:14" x14ac:dyDescent="0.35">
      <c r="A2655" t="s">
        <v>22</v>
      </c>
      <c r="B2655" t="s">
        <v>72</v>
      </c>
      <c r="N2655">
        <v>58.89542581521826</v>
      </c>
    </row>
    <row r="2656" spans="1:14" x14ac:dyDescent="0.35">
      <c r="A2656" t="s">
        <v>22</v>
      </c>
      <c r="B2656" t="s">
        <v>61</v>
      </c>
      <c r="N2656">
        <v>160.49003534646971</v>
      </c>
    </row>
    <row r="2657" spans="1:14" x14ac:dyDescent="0.35">
      <c r="A2657" t="s">
        <v>22</v>
      </c>
      <c r="B2657" t="s">
        <v>62</v>
      </c>
      <c r="N2657">
        <v>154.60049276494792</v>
      </c>
    </row>
    <row r="2658" spans="1:14" x14ac:dyDescent="0.35">
      <c r="A2658" t="s">
        <v>22</v>
      </c>
      <c r="B2658" t="s">
        <v>63</v>
      </c>
      <c r="N2658">
        <v>151.655721474187</v>
      </c>
    </row>
    <row r="2659" spans="1:14" x14ac:dyDescent="0.35">
      <c r="A2659" t="s">
        <v>22</v>
      </c>
      <c r="B2659" t="s">
        <v>64</v>
      </c>
      <c r="N2659">
        <v>148.71095018342609</v>
      </c>
    </row>
    <row r="2660" spans="1:14" x14ac:dyDescent="0.35">
      <c r="A2660" t="s">
        <v>22</v>
      </c>
      <c r="B2660" t="s">
        <v>65</v>
      </c>
      <c r="N2660">
        <v>144.2937932472847</v>
      </c>
    </row>
    <row r="2661" spans="1:14" x14ac:dyDescent="0.35">
      <c r="A2661" t="s">
        <v>22</v>
      </c>
      <c r="B2661" t="s">
        <v>66</v>
      </c>
      <c r="N2661">
        <v>138.40425066576287</v>
      </c>
    </row>
    <row r="2662" spans="1:14" x14ac:dyDescent="0.35">
      <c r="A2662" t="s">
        <v>22</v>
      </c>
      <c r="B2662" t="s">
        <v>47</v>
      </c>
      <c r="N2662">
        <v>956.96922361904331</v>
      </c>
    </row>
    <row r="2663" spans="1:14" x14ac:dyDescent="0.35">
      <c r="A2663" t="s">
        <v>23</v>
      </c>
      <c r="B2663" t="s">
        <v>72</v>
      </c>
      <c r="N2663">
        <v>17.584241713057942</v>
      </c>
    </row>
    <row r="2664" spans="1:14" x14ac:dyDescent="0.35">
      <c r="A2664" t="s">
        <v>23</v>
      </c>
      <c r="B2664" t="s">
        <v>61</v>
      </c>
      <c r="N2664">
        <v>47.917058668082895</v>
      </c>
    </row>
    <row r="2665" spans="1:14" x14ac:dyDescent="0.35">
      <c r="A2665" t="s">
        <v>23</v>
      </c>
      <c r="B2665" t="s">
        <v>62</v>
      </c>
      <c r="N2665">
        <v>46.15863449677709</v>
      </c>
    </row>
    <row r="2666" spans="1:14" x14ac:dyDescent="0.35">
      <c r="A2666" t="s">
        <v>23</v>
      </c>
      <c r="B2666" t="s">
        <v>63</v>
      </c>
      <c r="N2666">
        <v>45.279422411124195</v>
      </c>
    </row>
    <row r="2667" spans="1:14" x14ac:dyDescent="0.35">
      <c r="A2667" t="s">
        <v>23</v>
      </c>
      <c r="B2667" t="s">
        <v>64</v>
      </c>
      <c r="N2667">
        <v>44.400210325471299</v>
      </c>
    </row>
    <row r="2668" spans="1:14" x14ac:dyDescent="0.35">
      <c r="A2668" t="s">
        <v>23</v>
      </c>
      <c r="B2668" t="s">
        <v>65</v>
      </c>
      <c r="N2668">
        <v>43.081392196991956</v>
      </c>
    </row>
    <row r="2669" spans="1:14" x14ac:dyDescent="0.35">
      <c r="A2669" t="s">
        <v>23</v>
      </c>
      <c r="B2669" t="s">
        <v>66</v>
      </c>
      <c r="N2669">
        <v>41.322968025686166</v>
      </c>
    </row>
    <row r="2670" spans="1:14" x14ac:dyDescent="0.35">
      <c r="A2670" t="s">
        <v>23</v>
      </c>
      <c r="B2670" t="s">
        <v>47</v>
      </c>
      <c r="N2670">
        <v>286.01377517516295</v>
      </c>
    </row>
    <row r="2671" spans="1:14" x14ac:dyDescent="0.35">
      <c r="A2671" t="s">
        <v>24</v>
      </c>
      <c r="B2671" t="s">
        <v>72</v>
      </c>
      <c r="N2671">
        <v>30.313092115065551</v>
      </c>
    </row>
    <row r="2672" spans="1:14" x14ac:dyDescent="0.35">
      <c r="A2672" t="s">
        <v>24</v>
      </c>
      <c r="B2672" t="s">
        <v>61</v>
      </c>
      <c r="N2672">
        <v>82.603176013553622</v>
      </c>
    </row>
    <row r="2673" spans="1:14" x14ac:dyDescent="0.35">
      <c r="A2673" t="s">
        <v>24</v>
      </c>
      <c r="B2673" t="s">
        <v>62</v>
      </c>
      <c r="N2673">
        <v>79.571866802047069</v>
      </c>
    </row>
    <row r="2674" spans="1:14" x14ac:dyDescent="0.35">
      <c r="A2674" t="s">
        <v>24</v>
      </c>
      <c r="B2674" t="s">
        <v>63</v>
      </c>
      <c r="N2674">
        <v>78.056212196293799</v>
      </c>
    </row>
    <row r="2675" spans="1:14" x14ac:dyDescent="0.35">
      <c r="A2675" t="s">
        <v>24</v>
      </c>
      <c r="B2675" t="s">
        <v>64</v>
      </c>
      <c r="N2675">
        <v>76.540557590540516</v>
      </c>
    </row>
    <row r="2676" spans="1:14" x14ac:dyDescent="0.35">
      <c r="A2676" t="s">
        <v>24</v>
      </c>
      <c r="B2676" t="s">
        <v>65</v>
      </c>
      <c r="N2676">
        <v>74.267075681910597</v>
      </c>
    </row>
    <row r="2677" spans="1:14" x14ac:dyDescent="0.35">
      <c r="A2677" t="s">
        <v>24</v>
      </c>
      <c r="B2677" t="s">
        <v>66</v>
      </c>
      <c r="N2677">
        <v>71.235766470404045</v>
      </c>
    </row>
    <row r="2678" spans="1:14" x14ac:dyDescent="0.35">
      <c r="A2678" t="s">
        <v>24</v>
      </c>
      <c r="B2678" t="s">
        <v>47</v>
      </c>
      <c r="N2678">
        <v>492.60227169905619</v>
      </c>
    </row>
    <row r="2679" spans="1:14" x14ac:dyDescent="0.35">
      <c r="A2679" t="s">
        <v>25</v>
      </c>
      <c r="B2679" t="s">
        <v>72</v>
      </c>
      <c r="N2679">
        <v>49.325283089570291</v>
      </c>
    </row>
    <row r="2680" spans="1:14" x14ac:dyDescent="0.35">
      <c r="A2680" t="s">
        <v>25</v>
      </c>
      <c r="B2680" t="s">
        <v>61</v>
      </c>
      <c r="N2680">
        <v>134.41139641907904</v>
      </c>
    </row>
    <row r="2681" spans="1:14" x14ac:dyDescent="0.35">
      <c r="A2681" t="s">
        <v>25</v>
      </c>
      <c r="B2681" t="s">
        <v>62</v>
      </c>
      <c r="N2681">
        <v>129.47886811012202</v>
      </c>
    </row>
    <row r="2682" spans="1:14" x14ac:dyDescent="0.35">
      <c r="A2682" t="s">
        <v>25</v>
      </c>
      <c r="B2682" t="s">
        <v>63</v>
      </c>
      <c r="N2682">
        <v>127.0126039556435</v>
      </c>
    </row>
    <row r="2683" spans="1:14" x14ac:dyDescent="0.35">
      <c r="A2683" t="s">
        <v>25</v>
      </c>
      <c r="B2683" t="s">
        <v>64</v>
      </c>
      <c r="N2683">
        <v>124.54633980116496</v>
      </c>
    </row>
    <row r="2684" spans="1:14" x14ac:dyDescent="0.35">
      <c r="A2684" t="s">
        <v>25</v>
      </c>
      <c r="B2684" t="s">
        <v>65</v>
      </c>
      <c r="N2684">
        <v>120.84694356944722</v>
      </c>
    </row>
    <row r="2685" spans="1:14" x14ac:dyDescent="0.35">
      <c r="A2685" t="s">
        <v>25</v>
      </c>
      <c r="B2685" t="s">
        <v>66</v>
      </c>
      <c r="N2685">
        <v>115.9144152604902</v>
      </c>
    </row>
    <row r="2686" spans="1:14" x14ac:dyDescent="0.35">
      <c r="A2686" t="s">
        <v>25</v>
      </c>
      <c r="B2686" t="s">
        <v>47</v>
      </c>
      <c r="N2686">
        <v>803.13791145711104</v>
      </c>
    </row>
    <row r="2687" spans="1:14" x14ac:dyDescent="0.35">
      <c r="A2687" t="s">
        <v>26</v>
      </c>
      <c r="B2687" t="s">
        <v>72</v>
      </c>
      <c r="N2687">
        <v>37.687378235930126</v>
      </c>
    </row>
    <row r="2688" spans="1:14" x14ac:dyDescent="0.35">
      <c r="A2688" t="s">
        <v>26</v>
      </c>
      <c r="B2688" t="s">
        <v>61</v>
      </c>
      <c r="N2688">
        <v>102.69810569290958</v>
      </c>
    </row>
    <row r="2689" spans="1:14" x14ac:dyDescent="0.35">
      <c r="A2689" t="s">
        <v>26</v>
      </c>
      <c r="B2689" t="s">
        <v>62</v>
      </c>
      <c r="N2689">
        <v>98.929367869316593</v>
      </c>
    </row>
    <row r="2690" spans="1:14" x14ac:dyDescent="0.35">
      <c r="A2690" t="s">
        <v>26</v>
      </c>
      <c r="B2690" t="s">
        <v>63</v>
      </c>
      <c r="N2690">
        <v>97.044998957520079</v>
      </c>
    </row>
    <row r="2691" spans="1:14" x14ac:dyDescent="0.35">
      <c r="A2691" t="s">
        <v>26</v>
      </c>
      <c r="B2691" t="s">
        <v>64</v>
      </c>
      <c r="N2691">
        <v>95.160630045723565</v>
      </c>
    </row>
    <row r="2692" spans="1:14" x14ac:dyDescent="0.35">
      <c r="A2692" t="s">
        <v>26</v>
      </c>
      <c r="B2692" t="s">
        <v>65</v>
      </c>
      <c r="N2692">
        <v>92.334076678028794</v>
      </c>
    </row>
    <row r="2693" spans="1:14" x14ac:dyDescent="0.35">
      <c r="A2693" t="s">
        <v>26</v>
      </c>
      <c r="B2693" t="s">
        <v>66</v>
      </c>
      <c r="N2693">
        <v>88.56533885443578</v>
      </c>
    </row>
    <row r="2694" spans="1:14" x14ac:dyDescent="0.35">
      <c r="A2694" t="s">
        <v>26</v>
      </c>
      <c r="B2694" t="s">
        <v>47</v>
      </c>
      <c r="N2694">
        <v>612.84214492044703</v>
      </c>
    </row>
    <row r="2695" spans="1:14" x14ac:dyDescent="0.35">
      <c r="A2695" t="s">
        <v>27</v>
      </c>
      <c r="B2695" t="s">
        <v>72</v>
      </c>
      <c r="N2695">
        <v>16.324712639075774</v>
      </c>
    </row>
    <row r="2696" spans="1:14" x14ac:dyDescent="0.35">
      <c r="A2696" t="s">
        <v>27</v>
      </c>
      <c r="B2696" t="s">
        <v>61</v>
      </c>
      <c r="N2696">
        <v>44.484841941481477</v>
      </c>
    </row>
    <row r="2697" spans="1:14" x14ac:dyDescent="0.35">
      <c r="A2697" t="s">
        <v>27</v>
      </c>
      <c r="B2697" t="s">
        <v>62</v>
      </c>
      <c r="N2697">
        <v>42.852370677573894</v>
      </c>
    </row>
    <row r="2698" spans="1:14" x14ac:dyDescent="0.35">
      <c r="A2698" t="s">
        <v>27</v>
      </c>
      <c r="B2698" t="s">
        <v>63</v>
      </c>
      <c r="N2698">
        <v>42.036135045620107</v>
      </c>
    </row>
    <row r="2699" spans="1:14" x14ac:dyDescent="0.35">
      <c r="A2699" t="s">
        <v>27</v>
      </c>
      <c r="B2699" t="s">
        <v>64</v>
      </c>
      <c r="N2699">
        <v>41.219899413666319</v>
      </c>
    </row>
    <row r="2700" spans="1:14" x14ac:dyDescent="0.35">
      <c r="A2700" t="s">
        <v>27</v>
      </c>
      <c r="B2700" t="s">
        <v>65</v>
      </c>
      <c r="N2700">
        <v>39.995545965735637</v>
      </c>
    </row>
    <row r="2701" spans="1:14" x14ac:dyDescent="0.35">
      <c r="A2701" t="s">
        <v>27</v>
      </c>
      <c r="B2701" t="s">
        <v>66</v>
      </c>
      <c r="N2701">
        <v>38.363074701828062</v>
      </c>
    </row>
    <row r="2702" spans="1:14" x14ac:dyDescent="0.35">
      <c r="A2702" t="s">
        <v>27</v>
      </c>
      <c r="B2702" t="s">
        <v>47</v>
      </c>
      <c r="N2702">
        <v>265.26822524416275</v>
      </c>
    </row>
    <row r="2703" spans="1:14" x14ac:dyDescent="0.35">
      <c r="A2703" t="s">
        <v>28</v>
      </c>
      <c r="B2703" t="s">
        <v>72</v>
      </c>
      <c r="N2703">
        <v>6.400141634741022</v>
      </c>
    </row>
    <row r="2704" spans="1:14" x14ac:dyDescent="0.35">
      <c r="A2704" t="s">
        <v>28</v>
      </c>
      <c r="B2704" t="s">
        <v>61</v>
      </c>
      <c r="N2704">
        <v>17.440385954669281</v>
      </c>
    </row>
    <row r="2705" spans="1:15" x14ac:dyDescent="0.35">
      <c r="A2705" t="s">
        <v>28</v>
      </c>
      <c r="B2705" t="s">
        <v>62</v>
      </c>
      <c r="N2705">
        <v>16.800371791195179</v>
      </c>
    </row>
    <row r="2706" spans="1:15" x14ac:dyDescent="0.35">
      <c r="A2706" t="s">
        <v>28</v>
      </c>
      <c r="B2706" t="s">
        <v>63</v>
      </c>
      <c r="N2706">
        <v>16.480364709458129</v>
      </c>
    </row>
    <row r="2707" spans="1:15" x14ac:dyDescent="0.35">
      <c r="A2707" t="s">
        <v>28</v>
      </c>
      <c r="B2707" t="s">
        <v>64</v>
      </c>
      <c r="N2707">
        <v>16.160357627721073</v>
      </c>
    </row>
    <row r="2708" spans="1:15" x14ac:dyDescent="0.35">
      <c r="A2708" t="s">
        <v>28</v>
      </c>
      <c r="B2708" t="s">
        <v>65</v>
      </c>
      <c r="N2708">
        <v>15.680347005115502</v>
      </c>
    </row>
    <row r="2709" spans="1:15" x14ac:dyDescent="0.35">
      <c r="A2709" t="s">
        <v>28</v>
      </c>
      <c r="B2709" t="s">
        <v>66</v>
      </c>
      <c r="N2709">
        <v>15.040332841641399</v>
      </c>
    </row>
    <row r="2710" spans="1:15" x14ac:dyDescent="0.35">
      <c r="A2710" t="s">
        <v>28</v>
      </c>
      <c r="B2710" t="s">
        <v>47</v>
      </c>
      <c r="N2710">
        <v>103.3355077220827</v>
      </c>
    </row>
    <row r="2711" spans="1:15" x14ac:dyDescent="0.35">
      <c r="A2711" t="s">
        <v>29</v>
      </c>
      <c r="B2711" t="s">
        <v>72</v>
      </c>
      <c r="N2711">
        <v>20.871557901214878</v>
      </c>
    </row>
    <row r="2712" spans="1:15" x14ac:dyDescent="0.35">
      <c r="A2712" t="s">
        <v>29</v>
      </c>
      <c r="B2712" t="s">
        <v>61</v>
      </c>
      <c r="N2712">
        <v>56.874995280810545</v>
      </c>
    </row>
    <row r="2713" spans="1:15" x14ac:dyDescent="0.35">
      <c r="A2713" t="s">
        <v>29</v>
      </c>
      <c r="B2713" t="s">
        <v>62</v>
      </c>
      <c r="N2713">
        <v>54.787839490689052</v>
      </c>
    </row>
    <row r="2714" spans="1:15" x14ac:dyDescent="0.35">
      <c r="A2714" t="s">
        <v>29</v>
      </c>
      <c r="B2714" t="s">
        <v>63</v>
      </c>
      <c r="N2714">
        <v>53.744261595628309</v>
      </c>
    </row>
    <row r="2715" spans="1:15" x14ac:dyDescent="0.35">
      <c r="A2715" t="s">
        <v>29</v>
      </c>
      <c r="B2715" t="s">
        <v>64</v>
      </c>
      <c r="N2715">
        <v>52.700683700567581</v>
      </c>
    </row>
    <row r="2716" spans="1:15" x14ac:dyDescent="0.35">
      <c r="A2716" t="s">
        <v>29</v>
      </c>
      <c r="B2716" t="s">
        <v>65</v>
      </c>
      <c r="N2716">
        <v>51.135316857976434</v>
      </c>
    </row>
    <row r="2717" spans="1:15" x14ac:dyDescent="0.35">
      <c r="A2717" t="s">
        <v>29</v>
      </c>
      <c r="B2717" t="s">
        <v>66</v>
      </c>
      <c r="N2717">
        <v>49.048161067854956</v>
      </c>
    </row>
    <row r="2718" spans="1:15" x14ac:dyDescent="0.35">
      <c r="A2718" t="s">
        <v>29</v>
      </c>
      <c r="B2718" t="s">
        <v>47</v>
      </c>
      <c r="N2718">
        <v>338.01356975756596</v>
      </c>
    </row>
    <row r="2719" spans="1:15" x14ac:dyDescent="0.35">
      <c r="A2719" t="s">
        <v>2</v>
      </c>
      <c r="B2719" t="s">
        <v>72</v>
      </c>
      <c r="O2719">
        <v>464.66551939373409</v>
      </c>
    </row>
    <row r="2720" spans="1:15" x14ac:dyDescent="0.35">
      <c r="A2720" t="s">
        <v>2</v>
      </c>
      <c r="B2720" t="s">
        <v>61</v>
      </c>
      <c r="O2720">
        <v>203.79336092237287</v>
      </c>
    </row>
    <row r="2721" spans="1:15" x14ac:dyDescent="0.35">
      <c r="A2721" t="s">
        <v>2</v>
      </c>
      <c r="B2721" t="s">
        <v>64</v>
      </c>
      <c r="O2721">
        <v>-182.57938163233746</v>
      </c>
    </row>
    <row r="2722" spans="1:15" x14ac:dyDescent="0.35">
      <c r="A2722" t="s">
        <v>2</v>
      </c>
      <c r="B2722" t="s">
        <v>65</v>
      </c>
      <c r="O2722">
        <v>-182.57938163233746</v>
      </c>
    </row>
    <row r="2723" spans="1:15" x14ac:dyDescent="0.35">
      <c r="A2723" t="s">
        <v>2</v>
      </c>
      <c r="B2723" t="s">
        <v>66</v>
      </c>
      <c r="O2723">
        <v>-182.57938163233746</v>
      </c>
    </row>
    <row r="2724" spans="1:15" x14ac:dyDescent="0.35">
      <c r="A2724" t="s">
        <v>2</v>
      </c>
      <c r="B2724" t="s">
        <v>47</v>
      </c>
      <c r="O2724">
        <v>120.72073541909458</v>
      </c>
    </row>
    <row r="2725" spans="1:15" x14ac:dyDescent="0.35">
      <c r="A2725" t="s">
        <v>3</v>
      </c>
      <c r="B2725" t="s">
        <v>72</v>
      </c>
      <c r="O2725">
        <v>650.68932131673239</v>
      </c>
    </row>
    <row r="2726" spans="1:15" x14ac:dyDescent="0.35">
      <c r="A2726" t="s">
        <v>3</v>
      </c>
      <c r="B2726" t="s">
        <v>61</v>
      </c>
      <c r="O2726">
        <v>339.00181223681318</v>
      </c>
    </row>
    <row r="2727" spans="1:15" x14ac:dyDescent="0.35">
      <c r="A2727" t="s">
        <v>3</v>
      </c>
      <c r="B2727" t="s">
        <v>64</v>
      </c>
      <c r="O2727">
        <v>-262.33307330143003</v>
      </c>
    </row>
    <row r="2728" spans="1:15" x14ac:dyDescent="0.35">
      <c r="A2728" t="s">
        <v>3</v>
      </c>
      <c r="B2728" t="s">
        <v>65</v>
      </c>
      <c r="O2728">
        <v>-262.33307330143003</v>
      </c>
    </row>
    <row r="2729" spans="1:15" x14ac:dyDescent="0.35">
      <c r="A2729" t="s">
        <v>3</v>
      </c>
      <c r="B2729" t="s">
        <v>66</v>
      </c>
      <c r="O2729">
        <v>-262.33307330143003</v>
      </c>
    </row>
    <row r="2730" spans="1:15" x14ac:dyDescent="0.35">
      <c r="A2730" t="s">
        <v>3</v>
      </c>
      <c r="B2730" t="s">
        <v>47</v>
      </c>
      <c r="O2730">
        <v>202.69191364925553</v>
      </c>
    </row>
    <row r="2731" spans="1:15" x14ac:dyDescent="0.35">
      <c r="A2731" t="s">
        <v>4</v>
      </c>
      <c r="B2731" t="s">
        <v>72</v>
      </c>
      <c r="O2731">
        <v>110.46696554190393</v>
      </c>
    </row>
    <row r="2732" spans="1:15" x14ac:dyDescent="0.35">
      <c r="A2732" t="s">
        <v>4</v>
      </c>
      <c r="B2732" t="s">
        <v>61</v>
      </c>
      <c r="O2732">
        <v>161.80029887523727</v>
      </c>
    </row>
    <row r="2733" spans="1:15" x14ac:dyDescent="0.35">
      <c r="A2733" t="s">
        <v>4</v>
      </c>
      <c r="B2733" t="s">
        <v>64</v>
      </c>
      <c r="O2733">
        <v>-61.992451676336117</v>
      </c>
    </row>
    <row r="2734" spans="1:15" x14ac:dyDescent="0.35">
      <c r="A2734" t="s">
        <v>4</v>
      </c>
      <c r="B2734" t="s">
        <v>65</v>
      </c>
      <c r="O2734">
        <v>-61.992451676336117</v>
      </c>
    </row>
    <row r="2735" spans="1:15" x14ac:dyDescent="0.35">
      <c r="A2735" t="s">
        <v>4</v>
      </c>
      <c r="B2735" t="s">
        <v>66</v>
      </c>
      <c r="O2735">
        <v>-61.992451676336117</v>
      </c>
    </row>
    <row r="2736" spans="1:15" x14ac:dyDescent="0.35">
      <c r="A2736" t="s">
        <v>4</v>
      </c>
      <c r="B2736" t="s">
        <v>47</v>
      </c>
      <c r="O2736">
        <v>86.289909388132827</v>
      </c>
    </row>
    <row r="2737" spans="1:15" x14ac:dyDescent="0.35">
      <c r="A2737" t="s">
        <v>5</v>
      </c>
      <c r="B2737" t="s">
        <v>72</v>
      </c>
      <c r="O2737">
        <v>95.137216657908539</v>
      </c>
    </row>
    <row r="2738" spans="1:15" x14ac:dyDescent="0.35">
      <c r="A2738" t="s">
        <v>5</v>
      </c>
      <c r="B2738" t="s">
        <v>61</v>
      </c>
      <c r="O2738">
        <v>114.0239689388476</v>
      </c>
    </row>
    <row r="2739" spans="1:15" x14ac:dyDescent="0.35">
      <c r="A2739" t="s">
        <v>5</v>
      </c>
      <c r="B2739" t="s">
        <v>64</v>
      </c>
      <c r="O2739">
        <v>-46.361641120526905</v>
      </c>
    </row>
    <row r="2740" spans="1:15" x14ac:dyDescent="0.35">
      <c r="A2740" t="s">
        <v>5</v>
      </c>
      <c r="B2740" t="s">
        <v>65</v>
      </c>
      <c r="O2740">
        <v>-46.361641120526905</v>
      </c>
    </row>
    <row r="2741" spans="1:15" x14ac:dyDescent="0.35">
      <c r="A2741" t="s">
        <v>5</v>
      </c>
      <c r="B2741" t="s">
        <v>66</v>
      </c>
      <c r="O2741">
        <v>-46.361641120526905</v>
      </c>
    </row>
    <row r="2742" spans="1:15" x14ac:dyDescent="0.35">
      <c r="A2742" t="s">
        <v>5</v>
      </c>
      <c r="B2742" t="s">
        <v>47</v>
      </c>
      <c r="O2742">
        <v>70.076262235175392</v>
      </c>
    </row>
    <row r="2743" spans="1:15" x14ac:dyDescent="0.35">
      <c r="A2743" t="s">
        <v>6</v>
      </c>
      <c r="B2743" t="s">
        <v>72</v>
      </c>
      <c r="O2743">
        <v>31.558800365886498</v>
      </c>
    </row>
    <row r="2744" spans="1:15" x14ac:dyDescent="0.35">
      <c r="A2744" t="s">
        <v>6</v>
      </c>
      <c r="B2744" t="s">
        <v>61</v>
      </c>
      <c r="O2744">
        <v>19.581019418519247</v>
      </c>
    </row>
    <row r="2745" spans="1:15" x14ac:dyDescent="0.35">
      <c r="A2745" t="s">
        <v>6</v>
      </c>
      <c r="B2745" t="s">
        <v>64</v>
      </c>
      <c r="O2745">
        <v>-13.113205759598911</v>
      </c>
    </row>
    <row r="2746" spans="1:15" x14ac:dyDescent="0.35">
      <c r="A2746" t="s">
        <v>6</v>
      </c>
      <c r="B2746" t="s">
        <v>65</v>
      </c>
      <c r="O2746">
        <v>-13.113205759598911</v>
      </c>
    </row>
    <row r="2747" spans="1:15" x14ac:dyDescent="0.35">
      <c r="A2747" t="s">
        <v>6</v>
      </c>
      <c r="B2747" t="s">
        <v>66</v>
      </c>
      <c r="O2747">
        <v>-13.113205759598911</v>
      </c>
    </row>
    <row r="2748" spans="1:15" x14ac:dyDescent="0.35">
      <c r="A2748" t="s">
        <v>6</v>
      </c>
      <c r="B2748" t="s">
        <v>47</v>
      </c>
      <c r="O2748">
        <v>11.800202505609009</v>
      </c>
    </row>
    <row r="2749" spans="1:15" x14ac:dyDescent="0.35">
      <c r="A2749" t="s">
        <v>7</v>
      </c>
      <c r="B2749" t="s">
        <v>72</v>
      </c>
      <c r="O2749">
        <v>419.93081417472126</v>
      </c>
    </row>
    <row r="2750" spans="1:15" x14ac:dyDescent="0.35">
      <c r="A2750" t="s">
        <v>7</v>
      </c>
      <c r="B2750" t="s">
        <v>61</v>
      </c>
      <c r="O2750">
        <v>249.80509929305407</v>
      </c>
    </row>
    <row r="2751" spans="1:15" x14ac:dyDescent="0.35">
      <c r="A2751" t="s">
        <v>7</v>
      </c>
      <c r="B2751" t="s">
        <v>64</v>
      </c>
      <c r="O2751">
        <v>-173.15356864931849</v>
      </c>
    </row>
    <row r="2752" spans="1:15" x14ac:dyDescent="0.35">
      <c r="A2752" t="s">
        <v>7</v>
      </c>
      <c r="B2752" t="s">
        <v>65</v>
      </c>
      <c r="O2752">
        <v>-173.15356864931849</v>
      </c>
    </row>
    <row r="2753" spans="1:15" x14ac:dyDescent="0.35">
      <c r="A2753" t="s">
        <v>7</v>
      </c>
      <c r="B2753" t="s">
        <v>66</v>
      </c>
      <c r="O2753">
        <v>-173.15356864931849</v>
      </c>
    </row>
    <row r="2754" spans="1:15" x14ac:dyDescent="0.35">
      <c r="A2754" t="s">
        <v>7</v>
      </c>
      <c r="B2754" t="s">
        <v>47</v>
      </c>
      <c r="O2754">
        <v>150.27520751981999</v>
      </c>
    </row>
    <row r="2755" spans="1:15" x14ac:dyDescent="0.35">
      <c r="A2755" t="s">
        <v>8</v>
      </c>
      <c r="B2755" t="s">
        <v>72</v>
      </c>
      <c r="O2755">
        <v>206.04568270532809</v>
      </c>
    </row>
    <row r="2756" spans="1:15" x14ac:dyDescent="0.35">
      <c r="A2756" t="s">
        <v>8</v>
      </c>
      <c r="B2756" t="s">
        <v>61</v>
      </c>
      <c r="O2756">
        <v>94.700754641291653</v>
      </c>
    </row>
    <row r="2757" spans="1:15" x14ac:dyDescent="0.35">
      <c r="A2757" t="s">
        <v>8</v>
      </c>
      <c r="B2757" t="s">
        <v>64</v>
      </c>
      <c r="O2757">
        <v>-81.498984433714469</v>
      </c>
    </row>
    <row r="2758" spans="1:15" x14ac:dyDescent="0.35">
      <c r="A2758" t="s">
        <v>8</v>
      </c>
      <c r="B2758" t="s">
        <v>65</v>
      </c>
      <c r="O2758">
        <v>-81.498984433714469</v>
      </c>
    </row>
    <row r="2759" spans="1:15" x14ac:dyDescent="0.35">
      <c r="A2759" t="s">
        <v>8</v>
      </c>
      <c r="B2759" t="s">
        <v>66</v>
      </c>
      <c r="O2759">
        <v>-81.498984433714469</v>
      </c>
    </row>
    <row r="2760" spans="1:15" x14ac:dyDescent="0.35">
      <c r="A2760" t="s">
        <v>8</v>
      </c>
      <c r="B2760" t="s">
        <v>47</v>
      </c>
      <c r="O2760">
        <v>56.249484045476351</v>
      </c>
    </row>
    <row r="2761" spans="1:15" x14ac:dyDescent="0.35">
      <c r="A2761" t="s">
        <v>9</v>
      </c>
      <c r="B2761" t="s">
        <v>72</v>
      </c>
      <c r="O2761">
        <v>42.017079422555746</v>
      </c>
    </row>
    <row r="2762" spans="1:15" x14ac:dyDescent="0.35">
      <c r="A2762" t="s">
        <v>9</v>
      </c>
      <c r="B2762" t="s">
        <v>61</v>
      </c>
      <c r="O2762">
        <v>27.045678344482504</v>
      </c>
    </row>
    <row r="2763" spans="1:15" x14ac:dyDescent="0.35">
      <c r="A2763" t="s">
        <v>9</v>
      </c>
      <c r="B2763" t="s">
        <v>64</v>
      </c>
      <c r="O2763">
        <v>-17.579979344529661</v>
      </c>
    </row>
    <row r="2764" spans="1:15" x14ac:dyDescent="0.35">
      <c r="A2764" t="s">
        <v>9</v>
      </c>
      <c r="B2764" t="s">
        <v>65</v>
      </c>
      <c r="O2764">
        <v>-17.579979344529661</v>
      </c>
    </row>
    <row r="2765" spans="1:15" x14ac:dyDescent="0.35">
      <c r="A2765" t="s">
        <v>9</v>
      </c>
      <c r="B2765" t="s">
        <v>66</v>
      </c>
      <c r="O2765">
        <v>-17.579979344529661</v>
      </c>
    </row>
    <row r="2766" spans="1:15" x14ac:dyDescent="0.35">
      <c r="A2766" t="s">
        <v>9</v>
      </c>
      <c r="B2766" t="s">
        <v>47</v>
      </c>
      <c r="O2766">
        <v>16.322819733449265</v>
      </c>
    </row>
    <row r="2767" spans="1:15" x14ac:dyDescent="0.35">
      <c r="A2767" t="s">
        <v>10</v>
      </c>
      <c r="B2767" t="s">
        <v>72</v>
      </c>
      <c r="O2767">
        <v>197.61492811903051</v>
      </c>
    </row>
    <row r="2768" spans="1:15" x14ac:dyDescent="0.35">
      <c r="A2768" t="s">
        <v>10</v>
      </c>
      <c r="B2768" t="s">
        <v>61</v>
      </c>
      <c r="O2768">
        <v>107.70832633629603</v>
      </c>
    </row>
    <row r="2769" spans="1:15" x14ac:dyDescent="0.35">
      <c r="A2769" t="s">
        <v>10</v>
      </c>
      <c r="B2769" t="s">
        <v>64</v>
      </c>
      <c r="O2769">
        <v>-80.261147427470192</v>
      </c>
    </row>
    <row r="2770" spans="1:15" x14ac:dyDescent="0.35">
      <c r="A2770" t="s">
        <v>10</v>
      </c>
      <c r="B2770" t="s">
        <v>65</v>
      </c>
      <c r="O2770">
        <v>-80.261147427470192</v>
      </c>
    </row>
    <row r="2771" spans="1:15" x14ac:dyDescent="0.35">
      <c r="A2771" t="s">
        <v>10</v>
      </c>
      <c r="B2771" t="s">
        <v>66</v>
      </c>
      <c r="O2771">
        <v>-80.261147427470192</v>
      </c>
    </row>
    <row r="2772" spans="1:15" x14ac:dyDescent="0.35">
      <c r="A2772" t="s">
        <v>10</v>
      </c>
      <c r="B2772" t="s">
        <v>47</v>
      </c>
      <c r="O2772">
        <v>64.539812172916001</v>
      </c>
    </row>
    <row r="2773" spans="1:15" x14ac:dyDescent="0.35">
      <c r="A2773" t="s">
        <v>11</v>
      </c>
      <c r="B2773" t="s">
        <v>72</v>
      </c>
      <c r="O2773">
        <v>2634.4374439988942</v>
      </c>
    </row>
    <row r="2774" spans="1:15" x14ac:dyDescent="0.35">
      <c r="A2774" t="s">
        <v>11</v>
      </c>
      <c r="B2774" t="s">
        <v>61</v>
      </c>
      <c r="O2774">
        <v>1408.1251690226425</v>
      </c>
    </row>
    <row r="2775" spans="1:15" x14ac:dyDescent="0.35">
      <c r="A2775" t="s">
        <v>11</v>
      </c>
      <c r="B2775" t="s">
        <v>64</v>
      </c>
      <c r="O2775">
        <v>-1066.5277563214156</v>
      </c>
    </row>
    <row r="2776" spans="1:15" x14ac:dyDescent="0.35">
      <c r="A2776" t="s">
        <v>11</v>
      </c>
      <c r="B2776" t="s">
        <v>65</v>
      </c>
      <c r="O2776">
        <v>-1066.5277563214156</v>
      </c>
    </row>
    <row r="2777" spans="1:15" x14ac:dyDescent="0.35">
      <c r="A2777" t="s">
        <v>11</v>
      </c>
      <c r="B2777" t="s">
        <v>66</v>
      </c>
      <c r="O2777">
        <v>-1066.5277563214156</v>
      </c>
    </row>
    <row r="2778" spans="1:15" x14ac:dyDescent="0.35">
      <c r="A2778" t="s">
        <v>11</v>
      </c>
      <c r="B2778" t="s">
        <v>47</v>
      </c>
      <c r="O2778">
        <v>842.97934405728984</v>
      </c>
    </row>
    <row r="2779" spans="1:15" x14ac:dyDescent="0.35">
      <c r="A2779" t="s">
        <v>12</v>
      </c>
      <c r="B2779" t="s">
        <v>72</v>
      </c>
      <c r="O2779">
        <v>4122.8640125280526</v>
      </c>
    </row>
    <row r="2780" spans="1:15" x14ac:dyDescent="0.35">
      <c r="A2780" t="s">
        <v>12</v>
      </c>
      <c r="B2780" t="s">
        <v>61</v>
      </c>
      <c r="O2780">
        <v>1819.858999078192</v>
      </c>
    </row>
    <row r="2781" spans="1:15" x14ac:dyDescent="0.35">
      <c r="A2781" t="s">
        <v>12</v>
      </c>
      <c r="B2781" t="s">
        <v>64</v>
      </c>
      <c r="O2781">
        <v>-1621.4293790018082</v>
      </c>
    </row>
    <row r="2782" spans="1:15" x14ac:dyDescent="0.35">
      <c r="A2782" t="s">
        <v>12</v>
      </c>
      <c r="B2782" t="s">
        <v>65</v>
      </c>
      <c r="O2782">
        <v>-1621.4293790018082</v>
      </c>
    </row>
    <row r="2783" spans="1:15" x14ac:dyDescent="0.35">
      <c r="A2783" t="s">
        <v>12</v>
      </c>
      <c r="B2783" t="s">
        <v>66</v>
      </c>
      <c r="O2783">
        <v>-1621.4293790018082</v>
      </c>
    </row>
    <row r="2784" spans="1:15" x14ac:dyDescent="0.35">
      <c r="A2784" t="s">
        <v>12</v>
      </c>
      <c r="B2784" t="s">
        <v>47</v>
      </c>
      <c r="O2784">
        <v>1078.43487460082</v>
      </c>
    </row>
    <row r="2785" spans="1:15" x14ac:dyDescent="0.35">
      <c r="A2785" t="s">
        <v>13</v>
      </c>
      <c r="B2785" t="s">
        <v>72</v>
      </c>
      <c r="O2785">
        <v>215.21162674898099</v>
      </c>
    </row>
    <row r="2786" spans="1:15" x14ac:dyDescent="0.35">
      <c r="A2786" t="s">
        <v>13</v>
      </c>
      <c r="B2786" t="s">
        <v>61</v>
      </c>
      <c r="O2786">
        <v>288.81162674898098</v>
      </c>
    </row>
    <row r="2787" spans="1:15" x14ac:dyDescent="0.35">
      <c r="A2787" t="s">
        <v>13</v>
      </c>
      <c r="B2787" t="s">
        <v>64</v>
      </c>
      <c r="O2787">
        <v>-110.65579568926474</v>
      </c>
    </row>
    <row r="2788" spans="1:15" x14ac:dyDescent="0.35">
      <c r="A2788" t="s">
        <v>13</v>
      </c>
      <c r="B2788" t="s">
        <v>65</v>
      </c>
      <c r="O2788">
        <v>-110.65579568926474</v>
      </c>
    </row>
    <row r="2789" spans="1:15" x14ac:dyDescent="0.35">
      <c r="A2789" t="s">
        <v>13</v>
      </c>
      <c r="B2789" t="s">
        <v>66</v>
      </c>
      <c r="O2789">
        <v>-110.65579568926474</v>
      </c>
    </row>
    <row r="2790" spans="1:15" x14ac:dyDescent="0.35">
      <c r="A2790" t="s">
        <v>13</v>
      </c>
      <c r="B2790" t="s">
        <v>47</v>
      </c>
      <c r="O2790">
        <v>172.05586643016778</v>
      </c>
    </row>
    <row r="2791" spans="1:15" x14ac:dyDescent="0.35">
      <c r="A2791" t="s">
        <v>14</v>
      </c>
      <c r="B2791" t="s">
        <v>72</v>
      </c>
      <c r="O2791">
        <v>270.75451242976135</v>
      </c>
    </row>
    <row r="2792" spans="1:15" x14ac:dyDescent="0.35">
      <c r="A2792" t="s">
        <v>14</v>
      </c>
      <c r="B2792" t="s">
        <v>61</v>
      </c>
      <c r="O2792">
        <v>275.51354542234367</v>
      </c>
    </row>
    <row r="2793" spans="1:15" x14ac:dyDescent="0.35">
      <c r="A2793" t="s">
        <v>14</v>
      </c>
      <c r="B2793" t="s">
        <v>64</v>
      </c>
      <c r="O2793">
        <v>-125.85741216976808</v>
      </c>
    </row>
    <row r="2794" spans="1:15" x14ac:dyDescent="0.35">
      <c r="A2794" t="s">
        <v>14</v>
      </c>
      <c r="B2794" t="s">
        <v>65</v>
      </c>
      <c r="O2794">
        <v>-125.85741216976808</v>
      </c>
    </row>
    <row r="2795" spans="1:15" x14ac:dyDescent="0.35">
      <c r="A2795" t="s">
        <v>14</v>
      </c>
      <c r="B2795" t="s">
        <v>66</v>
      </c>
      <c r="O2795">
        <v>-125.85741216976808</v>
      </c>
    </row>
    <row r="2796" spans="1:15" x14ac:dyDescent="0.35">
      <c r="A2796" t="s">
        <v>14</v>
      </c>
      <c r="B2796" t="s">
        <v>47</v>
      </c>
      <c r="O2796">
        <v>168.69582134280083</v>
      </c>
    </row>
    <row r="2797" spans="1:15" x14ac:dyDescent="0.35">
      <c r="A2797" t="s">
        <v>15</v>
      </c>
      <c r="B2797" t="s">
        <v>72</v>
      </c>
      <c r="O2797">
        <v>260.37088220924937</v>
      </c>
    </row>
    <row r="2798" spans="1:15" x14ac:dyDescent="0.35">
      <c r="A2798" t="s">
        <v>15</v>
      </c>
      <c r="B2798" t="s">
        <v>61</v>
      </c>
      <c r="O2798">
        <v>135.63496127231872</v>
      </c>
    </row>
    <row r="2799" spans="1:15" x14ac:dyDescent="0.35">
      <c r="A2799" t="s">
        <v>15</v>
      </c>
      <c r="B2799" t="s">
        <v>64</v>
      </c>
      <c r="O2799">
        <v>-104.96968667021049</v>
      </c>
    </row>
    <row r="2800" spans="1:15" x14ac:dyDescent="0.35">
      <c r="A2800" t="s">
        <v>15</v>
      </c>
      <c r="B2800" t="s">
        <v>65</v>
      </c>
      <c r="O2800">
        <v>-104.96968667021049</v>
      </c>
    </row>
    <row r="2801" spans="1:15" x14ac:dyDescent="0.35">
      <c r="A2801" t="s">
        <v>15</v>
      </c>
      <c r="B2801" t="s">
        <v>66</v>
      </c>
      <c r="O2801">
        <v>-104.96968667021049</v>
      </c>
    </row>
    <row r="2802" spans="1:15" x14ac:dyDescent="0.35">
      <c r="A2802" t="s">
        <v>15</v>
      </c>
      <c r="B2802" t="s">
        <v>47</v>
      </c>
      <c r="O2802">
        <v>81.096783470936643</v>
      </c>
    </row>
    <row r="2803" spans="1:15" x14ac:dyDescent="0.35">
      <c r="A2803" t="s">
        <v>16</v>
      </c>
      <c r="B2803" t="s">
        <v>72</v>
      </c>
      <c r="O2803">
        <v>2207.0112588961597</v>
      </c>
    </row>
    <row r="2804" spans="1:15" x14ac:dyDescent="0.35">
      <c r="A2804" t="s">
        <v>16</v>
      </c>
      <c r="B2804" t="s">
        <v>61</v>
      </c>
      <c r="O2804">
        <v>1238.7071988118212</v>
      </c>
    </row>
    <row r="2805" spans="1:15" x14ac:dyDescent="0.35">
      <c r="A2805" t="s">
        <v>16</v>
      </c>
      <c r="B2805" t="s">
        <v>64</v>
      </c>
      <c r="O2805">
        <v>-900.82168284654892</v>
      </c>
    </row>
    <row r="2806" spans="1:15" x14ac:dyDescent="0.35">
      <c r="A2806" t="s">
        <v>16</v>
      </c>
      <c r="B2806" t="s">
        <v>65</v>
      </c>
      <c r="O2806">
        <v>-900.82168284654892</v>
      </c>
    </row>
    <row r="2807" spans="1:15" x14ac:dyDescent="0.35">
      <c r="A2807" t="s">
        <v>16</v>
      </c>
      <c r="B2807" t="s">
        <v>66</v>
      </c>
      <c r="O2807">
        <v>-900.82168284654892</v>
      </c>
    </row>
    <row r="2808" spans="1:15" x14ac:dyDescent="0.35">
      <c r="A2808" t="s">
        <v>16</v>
      </c>
      <c r="B2808" t="s">
        <v>47</v>
      </c>
      <c r="O2808">
        <v>743.25340916833409</v>
      </c>
    </row>
    <row r="2809" spans="1:15" x14ac:dyDescent="0.35">
      <c r="A2809" t="s">
        <v>17</v>
      </c>
      <c r="B2809" t="s">
        <v>72</v>
      </c>
      <c r="O2809">
        <v>48.174524061926761</v>
      </c>
    </row>
    <row r="2810" spans="1:15" x14ac:dyDescent="0.35">
      <c r="A2810" t="s">
        <v>17</v>
      </c>
      <c r="B2810" t="s">
        <v>61</v>
      </c>
      <c r="O2810">
        <v>46.536017133194484</v>
      </c>
    </row>
    <row r="2811" spans="1:15" x14ac:dyDescent="0.35">
      <c r="A2811" t="s">
        <v>17</v>
      </c>
      <c r="B2811" t="s">
        <v>64</v>
      </c>
      <c r="O2811">
        <v>-22.084747405591351</v>
      </c>
    </row>
    <row r="2812" spans="1:15" x14ac:dyDescent="0.35">
      <c r="A2812" t="s">
        <v>17</v>
      </c>
      <c r="B2812" t="s">
        <v>65</v>
      </c>
      <c r="O2812">
        <v>-22.084747405591351</v>
      </c>
    </row>
    <row r="2813" spans="1:15" x14ac:dyDescent="0.35">
      <c r="A2813" t="s">
        <v>17</v>
      </c>
      <c r="B2813" t="s">
        <v>66</v>
      </c>
      <c r="O2813">
        <v>-22.084747405591351</v>
      </c>
    </row>
    <row r="2814" spans="1:15" x14ac:dyDescent="0.35">
      <c r="A2814" t="s">
        <v>17</v>
      </c>
      <c r="B2814" t="s">
        <v>47</v>
      </c>
      <c r="O2814">
        <v>28.456298978347192</v>
      </c>
    </row>
    <row r="2815" spans="1:15" x14ac:dyDescent="0.35">
      <c r="A2815" t="s">
        <v>18</v>
      </c>
      <c r="B2815" t="s">
        <v>72</v>
      </c>
      <c r="O2815">
        <v>82.887751519082428</v>
      </c>
    </row>
    <row r="2816" spans="1:15" x14ac:dyDescent="0.35">
      <c r="A2816" t="s">
        <v>18</v>
      </c>
      <c r="B2816" t="s">
        <v>61</v>
      </c>
      <c r="O2816">
        <v>71.776376764382874</v>
      </c>
    </row>
    <row r="2817" spans="1:15" x14ac:dyDescent="0.35">
      <c r="A2817" t="s">
        <v>18</v>
      </c>
      <c r="B2817" t="s">
        <v>64</v>
      </c>
      <c r="O2817">
        <v>-36.96848717206224</v>
      </c>
    </row>
    <row r="2818" spans="1:15" x14ac:dyDescent="0.35">
      <c r="A2818" t="s">
        <v>18</v>
      </c>
      <c r="B2818" t="s">
        <v>65</v>
      </c>
      <c r="O2818">
        <v>-36.96848717206224</v>
      </c>
    </row>
    <row r="2819" spans="1:15" x14ac:dyDescent="0.35">
      <c r="A2819" t="s">
        <v>18</v>
      </c>
      <c r="B2819" t="s">
        <v>66</v>
      </c>
      <c r="O2819">
        <v>-36.96848717206224</v>
      </c>
    </row>
    <row r="2820" spans="1:15" x14ac:dyDescent="0.35">
      <c r="A2820" t="s">
        <v>18</v>
      </c>
      <c r="B2820" t="s">
        <v>47</v>
      </c>
      <c r="O2820">
        <v>43.758666767278569</v>
      </c>
    </row>
    <row r="2821" spans="1:15" x14ac:dyDescent="0.35">
      <c r="A2821" t="s">
        <v>19</v>
      </c>
      <c r="B2821" t="s">
        <v>72</v>
      </c>
      <c r="O2821">
        <v>98.124573751711054</v>
      </c>
    </row>
    <row r="2822" spans="1:15" x14ac:dyDescent="0.35">
      <c r="A2822" t="s">
        <v>19</v>
      </c>
      <c r="B2822" t="s">
        <v>61</v>
      </c>
      <c r="O2822">
        <v>39.418374648950675</v>
      </c>
    </row>
    <row r="2823" spans="1:15" x14ac:dyDescent="0.35">
      <c r="A2823" t="s">
        <v>19</v>
      </c>
      <c r="B2823" t="s">
        <v>64</v>
      </c>
      <c r="O2823">
        <v>-38.106477810361838</v>
      </c>
    </row>
    <row r="2824" spans="1:15" x14ac:dyDescent="0.35">
      <c r="A2824" t="s">
        <v>19</v>
      </c>
      <c r="B2824" t="s">
        <v>65</v>
      </c>
      <c r="O2824">
        <v>-38.106477810361838</v>
      </c>
    </row>
    <row r="2825" spans="1:15" x14ac:dyDescent="0.35">
      <c r="A2825" t="s">
        <v>19</v>
      </c>
      <c r="B2825" t="s">
        <v>66</v>
      </c>
      <c r="O2825">
        <v>-38.106477810361838</v>
      </c>
    </row>
    <row r="2826" spans="1:15" x14ac:dyDescent="0.35">
      <c r="A2826" t="s">
        <v>19</v>
      </c>
      <c r="B2826" t="s">
        <v>47</v>
      </c>
      <c r="O2826">
        <v>23.2235149695762</v>
      </c>
    </row>
    <row r="2827" spans="1:15" x14ac:dyDescent="0.35">
      <c r="A2827" t="s">
        <v>20</v>
      </c>
      <c r="B2827" t="s">
        <v>72</v>
      </c>
      <c r="O2827">
        <v>8.8219144204526003</v>
      </c>
    </row>
    <row r="2828" spans="1:15" x14ac:dyDescent="0.35">
      <c r="A2828" t="s">
        <v>20</v>
      </c>
      <c r="B2828" t="s">
        <v>61</v>
      </c>
      <c r="O2828">
        <v>6.0532799443635836</v>
      </c>
    </row>
    <row r="2829" spans="1:15" x14ac:dyDescent="0.35">
      <c r="A2829" t="s">
        <v>20</v>
      </c>
      <c r="B2829" t="s">
        <v>64</v>
      </c>
      <c r="O2829">
        <v>-3.7376428175425032</v>
      </c>
    </row>
    <row r="2830" spans="1:15" x14ac:dyDescent="0.35">
      <c r="A2830" t="s">
        <v>20</v>
      </c>
      <c r="B2830" t="s">
        <v>65</v>
      </c>
      <c r="O2830">
        <v>-3.7376428175425032</v>
      </c>
    </row>
    <row r="2831" spans="1:15" x14ac:dyDescent="0.35">
      <c r="A2831" t="s">
        <v>20</v>
      </c>
      <c r="B2831" t="s">
        <v>66</v>
      </c>
      <c r="O2831">
        <v>-3.7376428175425032</v>
      </c>
    </row>
    <row r="2832" spans="1:15" x14ac:dyDescent="0.35">
      <c r="A2832" t="s">
        <v>20</v>
      </c>
      <c r="B2832" t="s">
        <v>47</v>
      </c>
      <c r="O2832">
        <v>3.6622659121886745</v>
      </c>
    </row>
    <row r="2833" spans="1:15" x14ac:dyDescent="0.35">
      <c r="A2833" t="s">
        <v>21</v>
      </c>
      <c r="B2833" t="s">
        <v>72</v>
      </c>
      <c r="O2833">
        <v>729.74658710421738</v>
      </c>
    </row>
    <row r="2834" spans="1:15" x14ac:dyDescent="0.35">
      <c r="A2834" t="s">
        <v>21</v>
      </c>
      <c r="B2834" t="s">
        <v>61</v>
      </c>
      <c r="O2834">
        <v>308.21850843346112</v>
      </c>
    </row>
    <row r="2835" spans="1:15" x14ac:dyDescent="0.35">
      <c r="A2835" t="s">
        <v>21</v>
      </c>
      <c r="B2835" t="s">
        <v>64</v>
      </c>
      <c r="O2835">
        <v>-285.26689161081123</v>
      </c>
    </row>
    <row r="2836" spans="1:15" x14ac:dyDescent="0.35">
      <c r="A2836" t="s">
        <v>21</v>
      </c>
      <c r="B2836" t="s">
        <v>65</v>
      </c>
      <c r="O2836">
        <v>-285.26689161081123</v>
      </c>
    </row>
    <row r="2837" spans="1:15" x14ac:dyDescent="0.35">
      <c r="A2837" t="s">
        <v>21</v>
      </c>
      <c r="B2837" t="s">
        <v>66</v>
      </c>
      <c r="O2837">
        <v>-285.26689161081123</v>
      </c>
    </row>
    <row r="2838" spans="1:15" x14ac:dyDescent="0.35">
      <c r="A2838" t="s">
        <v>21</v>
      </c>
      <c r="B2838" t="s">
        <v>47</v>
      </c>
      <c r="O2838">
        <v>182.16442070524488</v>
      </c>
    </row>
    <row r="2839" spans="1:15" x14ac:dyDescent="0.35">
      <c r="A2839" t="s">
        <v>22</v>
      </c>
      <c r="B2839" t="s">
        <v>72</v>
      </c>
      <c r="O2839">
        <v>1211.8282189782794</v>
      </c>
    </row>
    <row r="2840" spans="1:15" x14ac:dyDescent="0.35">
      <c r="A2840" t="s">
        <v>22</v>
      </c>
      <c r="B2840" t="s">
        <v>61</v>
      </c>
      <c r="O2840">
        <v>1159.9167823258692</v>
      </c>
    </row>
    <row r="2841" spans="1:15" x14ac:dyDescent="0.35">
      <c r="A2841" t="s">
        <v>22</v>
      </c>
      <c r="B2841" t="s">
        <v>64</v>
      </c>
      <c r="O2841">
        <v>-554.2125998639641</v>
      </c>
    </row>
    <row r="2842" spans="1:15" x14ac:dyDescent="0.35">
      <c r="A2842" t="s">
        <v>22</v>
      </c>
      <c r="B2842" t="s">
        <v>65</v>
      </c>
      <c r="O2842">
        <v>-554.2125998639641</v>
      </c>
    </row>
    <row r="2843" spans="1:15" x14ac:dyDescent="0.35">
      <c r="A2843" t="s">
        <v>22</v>
      </c>
      <c r="B2843" t="s">
        <v>66</v>
      </c>
      <c r="O2843">
        <v>-554.2125998639641</v>
      </c>
    </row>
    <row r="2844" spans="1:15" x14ac:dyDescent="0.35">
      <c r="A2844" t="s">
        <v>22</v>
      </c>
      <c r="B2844" t="s">
        <v>47</v>
      </c>
      <c r="O2844">
        <v>709.10720171225682</v>
      </c>
    </row>
    <row r="2845" spans="1:15" x14ac:dyDescent="0.35">
      <c r="A2845" t="s">
        <v>23</v>
      </c>
      <c r="B2845" t="s">
        <v>72</v>
      </c>
      <c r="O2845">
        <v>256.84046636080296</v>
      </c>
    </row>
    <row r="2846" spans="1:15" x14ac:dyDescent="0.35">
      <c r="A2846" t="s">
        <v>23</v>
      </c>
      <c r="B2846" t="s">
        <v>61</v>
      </c>
      <c r="O2846">
        <v>169.73709787339968</v>
      </c>
    </row>
    <row r="2847" spans="1:15" x14ac:dyDescent="0.35">
      <c r="A2847" t="s">
        <v>23</v>
      </c>
      <c r="B2847" t="s">
        <v>64</v>
      </c>
      <c r="O2847">
        <v>-108.01039579596538</v>
      </c>
    </row>
    <row r="2848" spans="1:15" x14ac:dyDescent="0.35">
      <c r="A2848" t="s">
        <v>23</v>
      </c>
      <c r="B2848" t="s">
        <v>65</v>
      </c>
      <c r="O2848">
        <v>-108.01039579596538</v>
      </c>
    </row>
    <row r="2849" spans="1:15" x14ac:dyDescent="0.35">
      <c r="A2849" t="s">
        <v>23</v>
      </c>
      <c r="B2849" t="s">
        <v>66</v>
      </c>
      <c r="O2849">
        <v>-108.01039579596538</v>
      </c>
    </row>
    <row r="2850" spans="1:15" x14ac:dyDescent="0.35">
      <c r="A2850" t="s">
        <v>23</v>
      </c>
      <c r="B2850" t="s">
        <v>47</v>
      </c>
      <c r="O2850">
        <v>102.5463768463065</v>
      </c>
    </row>
    <row r="2851" spans="1:15" x14ac:dyDescent="0.35">
      <c r="A2851" t="s">
        <v>24</v>
      </c>
      <c r="B2851" t="s">
        <v>72</v>
      </c>
      <c r="O2851">
        <v>322.30708885266688</v>
      </c>
    </row>
    <row r="2852" spans="1:15" x14ac:dyDescent="0.35">
      <c r="A2852" t="s">
        <v>24</v>
      </c>
      <c r="B2852" t="s">
        <v>61</v>
      </c>
      <c r="O2852">
        <v>445.64042218600019</v>
      </c>
    </row>
    <row r="2853" spans="1:15" x14ac:dyDescent="0.35">
      <c r="A2853" t="s">
        <v>24</v>
      </c>
      <c r="B2853" t="s">
        <v>64</v>
      </c>
      <c r="O2853">
        <v>-170.7434567762453</v>
      </c>
    </row>
    <row r="2854" spans="1:15" x14ac:dyDescent="0.35">
      <c r="A2854" t="s">
        <v>24</v>
      </c>
      <c r="B2854" t="s">
        <v>65</v>
      </c>
      <c r="O2854">
        <v>-170.7434567762453</v>
      </c>
    </row>
    <row r="2855" spans="1:15" x14ac:dyDescent="0.35">
      <c r="A2855" t="s">
        <v>24</v>
      </c>
      <c r="B2855" t="s">
        <v>66</v>
      </c>
      <c r="O2855">
        <v>-170.7434567762453</v>
      </c>
    </row>
    <row r="2856" spans="1:15" x14ac:dyDescent="0.35">
      <c r="A2856" t="s">
        <v>24</v>
      </c>
      <c r="B2856" t="s">
        <v>47</v>
      </c>
      <c r="O2856">
        <v>255.71714070993119</v>
      </c>
    </row>
    <row r="2857" spans="1:15" x14ac:dyDescent="0.35">
      <c r="A2857" t="s">
        <v>25</v>
      </c>
      <c r="B2857" t="s">
        <v>72</v>
      </c>
      <c r="O2857">
        <v>146.18572080780058</v>
      </c>
    </row>
    <row r="2858" spans="1:15" x14ac:dyDescent="0.35">
      <c r="A2858" t="s">
        <v>25</v>
      </c>
      <c r="B2858" t="s">
        <v>61</v>
      </c>
      <c r="O2858">
        <v>149.25484313011475</v>
      </c>
    </row>
    <row r="2859" spans="1:15" x14ac:dyDescent="0.35">
      <c r="A2859" t="s">
        <v>25</v>
      </c>
      <c r="B2859" t="s">
        <v>64</v>
      </c>
      <c r="O2859">
        <v>-68.014963272465081</v>
      </c>
    </row>
    <row r="2860" spans="1:15" x14ac:dyDescent="0.35">
      <c r="A2860" t="s">
        <v>25</v>
      </c>
      <c r="B2860" t="s">
        <v>65</v>
      </c>
      <c r="O2860">
        <v>-68.014963272465081</v>
      </c>
    </row>
    <row r="2861" spans="1:15" x14ac:dyDescent="0.35">
      <c r="A2861" t="s">
        <v>25</v>
      </c>
      <c r="B2861" t="s">
        <v>66</v>
      </c>
      <c r="O2861">
        <v>-68.014963272465081</v>
      </c>
    </row>
    <row r="2862" spans="1:15" x14ac:dyDescent="0.35">
      <c r="A2862" t="s">
        <v>25</v>
      </c>
      <c r="B2862" t="s">
        <v>47</v>
      </c>
      <c r="O2862">
        <v>91.395674120520084</v>
      </c>
    </row>
    <row r="2863" spans="1:15" x14ac:dyDescent="0.35">
      <c r="A2863" t="s">
        <v>26</v>
      </c>
      <c r="B2863" t="s">
        <v>72</v>
      </c>
      <c r="O2863">
        <v>89.083423224125482</v>
      </c>
    </row>
    <row r="2864" spans="1:15" x14ac:dyDescent="0.35">
      <c r="A2864" t="s">
        <v>26</v>
      </c>
      <c r="B2864" t="s">
        <v>61</v>
      </c>
      <c r="O2864">
        <v>54.674166048888289</v>
      </c>
    </row>
    <row r="2865" spans="1:15" x14ac:dyDescent="0.35">
      <c r="A2865" t="s">
        <v>26</v>
      </c>
      <c r="B2865" t="s">
        <v>64</v>
      </c>
      <c r="O2865">
        <v>-36.941286037340539</v>
      </c>
    </row>
    <row r="2866" spans="1:15" x14ac:dyDescent="0.35">
      <c r="A2866" t="s">
        <v>26</v>
      </c>
      <c r="B2866" t="s">
        <v>65</v>
      </c>
      <c r="O2866">
        <v>-36.941286037340539</v>
      </c>
    </row>
    <row r="2867" spans="1:15" x14ac:dyDescent="0.35">
      <c r="A2867" t="s">
        <v>26</v>
      </c>
      <c r="B2867" t="s">
        <v>66</v>
      </c>
      <c r="O2867">
        <v>-36.941286037340539</v>
      </c>
    </row>
    <row r="2868" spans="1:15" x14ac:dyDescent="0.35">
      <c r="A2868" t="s">
        <v>26</v>
      </c>
      <c r="B2868" t="s">
        <v>47</v>
      </c>
      <c r="O2868">
        <v>32.933731160992131</v>
      </c>
    </row>
    <row r="2869" spans="1:15" x14ac:dyDescent="0.35">
      <c r="A2869" t="s">
        <v>27</v>
      </c>
      <c r="B2869" t="s">
        <v>72</v>
      </c>
      <c r="O2869">
        <v>1334.9500624190471</v>
      </c>
    </row>
    <row r="2870" spans="1:15" x14ac:dyDescent="0.35">
      <c r="A2870" t="s">
        <v>27</v>
      </c>
      <c r="B2870" t="s">
        <v>61</v>
      </c>
      <c r="O2870">
        <v>913.010926531314</v>
      </c>
    </row>
    <row r="2871" spans="1:15" x14ac:dyDescent="0.35">
      <c r="A2871" t="s">
        <v>27</v>
      </c>
      <c r="B2871" t="s">
        <v>64</v>
      </c>
      <c r="O2871">
        <v>-565.21713758073327</v>
      </c>
    </row>
    <row r="2872" spans="1:15" x14ac:dyDescent="0.35">
      <c r="A2872" t="s">
        <v>27</v>
      </c>
      <c r="B2872" t="s">
        <v>65</v>
      </c>
      <c r="O2872">
        <v>-565.21713758073327</v>
      </c>
    </row>
    <row r="2873" spans="1:15" x14ac:dyDescent="0.35">
      <c r="A2873" t="s">
        <v>27</v>
      </c>
      <c r="B2873" t="s">
        <v>66</v>
      </c>
      <c r="O2873">
        <v>-565.21713758073327</v>
      </c>
    </row>
    <row r="2874" spans="1:15" x14ac:dyDescent="0.35">
      <c r="A2874" t="s">
        <v>27</v>
      </c>
      <c r="B2874" t="s">
        <v>47</v>
      </c>
      <c r="O2874">
        <v>552.30957620816082</v>
      </c>
    </row>
    <row r="2875" spans="1:15" x14ac:dyDescent="0.35">
      <c r="A2875" t="s">
        <v>28</v>
      </c>
      <c r="B2875" t="s">
        <v>72</v>
      </c>
      <c r="O2875">
        <v>234.04143187214626</v>
      </c>
    </row>
    <row r="2876" spans="1:15" x14ac:dyDescent="0.35">
      <c r="A2876" t="s">
        <v>28</v>
      </c>
      <c r="B2876" t="s">
        <v>61</v>
      </c>
      <c r="O2876">
        <v>109.70933088566841</v>
      </c>
    </row>
    <row r="2877" spans="1:15" x14ac:dyDescent="0.35">
      <c r="A2877" t="s">
        <v>28</v>
      </c>
      <c r="B2877" t="s">
        <v>64</v>
      </c>
      <c r="O2877">
        <v>-92.838351930579677</v>
      </c>
    </row>
    <row r="2878" spans="1:15" x14ac:dyDescent="0.35">
      <c r="A2878" t="s">
        <v>28</v>
      </c>
      <c r="B2878" t="s">
        <v>65</v>
      </c>
      <c r="O2878">
        <v>-92.838351930579677</v>
      </c>
    </row>
    <row r="2879" spans="1:15" x14ac:dyDescent="0.35">
      <c r="A2879" t="s">
        <v>28</v>
      </c>
      <c r="B2879" t="s">
        <v>66</v>
      </c>
      <c r="O2879">
        <v>-92.838351930579677</v>
      </c>
    </row>
    <row r="2880" spans="1:15" x14ac:dyDescent="0.35">
      <c r="A2880" t="s">
        <v>28</v>
      </c>
      <c r="B2880" t="s">
        <v>47</v>
      </c>
      <c r="O2880">
        <v>65.235706966075611</v>
      </c>
    </row>
    <row r="2881" spans="1:16" x14ac:dyDescent="0.35">
      <c r="A2881" t="s">
        <v>29</v>
      </c>
      <c r="B2881" t="s">
        <v>72</v>
      </c>
      <c r="O2881">
        <v>16491.767827881158</v>
      </c>
    </row>
    <row r="2882" spans="1:16" x14ac:dyDescent="0.35">
      <c r="A2882" t="s">
        <v>29</v>
      </c>
      <c r="B2882" t="s">
        <v>61</v>
      </c>
      <c r="O2882">
        <v>9958.0579452688198</v>
      </c>
    </row>
    <row r="2883" spans="1:16" x14ac:dyDescent="0.35">
      <c r="A2883" t="s">
        <v>29</v>
      </c>
      <c r="B2883" t="s">
        <v>64</v>
      </c>
      <c r="O2883">
        <v>-6831.2775841179428</v>
      </c>
    </row>
    <row r="2884" spans="1:16" x14ac:dyDescent="0.35">
      <c r="A2884" t="s">
        <v>29</v>
      </c>
      <c r="B2884" t="s">
        <v>65</v>
      </c>
      <c r="O2884">
        <v>-6831.2775841179428</v>
      </c>
    </row>
    <row r="2885" spans="1:16" x14ac:dyDescent="0.35">
      <c r="A2885" t="s">
        <v>29</v>
      </c>
      <c r="B2885" t="s">
        <v>66</v>
      </c>
      <c r="O2885">
        <v>-6831.2775841179428</v>
      </c>
    </row>
    <row r="2886" spans="1:16" x14ac:dyDescent="0.35">
      <c r="A2886" t="s">
        <v>29</v>
      </c>
      <c r="B2886" t="s">
        <v>47</v>
      </c>
      <c r="O2886">
        <v>5955.9930207961479</v>
      </c>
    </row>
    <row r="2887" spans="1:16" x14ac:dyDescent="0.35">
      <c r="A2887" t="s">
        <v>2</v>
      </c>
      <c r="B2887" t="s">
        <v>72</v>
      </c>
      <c r="P2887">
        <v>50.738755120521304</v>
      </c>
    </row>
    <row r="2888" spans="1:16" x14ac:dyDescent="0.35">
      <c r="A2888" t="s">
        <v>2</v>
      </c>
      <c r="B2888" t="s">
        <v>61</v>
      </c>
      <c r="P2888">
        <v>22.253042249658538</v>
      </c>
    </row>
    <row r="2889" spans="1:16" x14ac:dyDescent="0.35">
      <c r="A2889" t="s">
        <v>2</v>
      </c>
      <c r="B2889" t="s">
        <v>62</v>
      </c>
      <c r="P2889">
        <v>0</v>
      </c>
    </row>
    <row r="2890" spans="1:16" x14ac:dyDescent="0.35">
      <c r="A2890" t="s">
        <v>2</v>
      </c>
      <c r="B2890" t="s">
        <v>63</v>
      </c>
      <c r="P2890">
        <v>0</v>
      </c>
    </row>
    <row r="2891" spans="1:16" x14ac:dyDescent="0.35">
      <c r="A2891" t="s">
        <v>2</v>
      </c>
      <c r="B2891" t="s">
        <v>64</v>
      </c>
      <c r="P2891">
        <v>-19.936599872498086</v>
      </c>
    </row>
    <row r="2892" spans="1:16" x14ac:dyDescent="0.35">
      <c r="A2892" t="s">
        <v>2</v>
      </c>
      <c r="B2892" t="s">
        <v>65</v>
      </c>
      <c r="P2892">
        <v>-19.936599872498086</v>
      </c>
    </row>
    <row r="2893" spans="1:16" x14ac:dyDescent="0.35">
      <c r="A2893" t="s">
        <v>2</v>
      </c>
      <c r="B2893" t="s">
        <v>66</v>
      </c>
      <c r="P2893">
        <v>-19.936599872498086</v>
      </c>
    </row>
    <row r="2894" spans="1:16" x14ac:dyDescent="0.35">
      <c r="A2894" t="s">
        <v>2</v>
      </c>
      <c r="B2894" t="s">
        <v>47</v>
      </c>
      <c r="P2894">
        <v>13.181997752685582</v>
      </c>
    </row>
    <row r="2895" spans="1:16" x14ac:dyDescent="0.35">
      <c r="A2895" t="s">
        <v>3</v>
      </c>
      <c r="B2895" t="s">
        <v>72</v>
      </c>
      <c r="P2895">
        <v>55.063833571696065</v>
      </c>
    </row>
    <row r="2896" spans="1:16" x14ac:dyDescent="0.35">
      <c r="A2896" t="s">
        <v>3</v>
      </c>
      <c r="B2896" t="s">
        <v>61</v>
      </c>
      <c r="P2896">
        <v>28.687637491479492</v>
      </c>
    </row>
    <row r="2897" spans="1:16" x14ac:dyDescent="0.35">
      <c r="A2897" t="s">
        <v>3</v>
      </c>
      <c r="B2897" t="s">
        <v>62</v>
      </c>
      <c r="P2897">
        <v>0</v>
      </c>
    </row>
    <row r="2898" spans="1:16" x14ac:dyDescent="0.35">
      <c r="A2898" t="s">
        <v>3</v>
      </c>
      <c r="B2898" t="s">
        <v>63</v>
      </c>
      <c r="P2898">
        <v>0</v>
      </c>
    </row>
    <row r="2899" spans="1:16" x14ac:dyDescent="0.35">
      <c r="A2899" t="s">
        <v>3</v>
      </c>
      <c r="B2899" t="s">
        <v>64</v>
      </c>
      <c r="P2899">
        <v>-22.199633858122198</v>
      </c>
    </row>
    <row r="2900" spans="1:16" x14ac:dyDescent="0.35">
      <c r="A2900" t="s">
        <v>3</v>
      </c>
      <c r="B2900" t="s">
        <v>65</v>
      </c>
      <c r="P2900">
        <v>-22.199633858122198</v>
      </c>
    </row>
    <row r="2901" spans="1:16" x14ac:dyDescent="0.35">
      <c r="A2901" t="s">
        <v>3</v>
      </c>
      <c r="B2901" t="s">
        <v>66</v>
      </c>
      <c r="P2901">
        <v>-22.199633858122198</v>
      </c>
    </row>
    <row r="2902" spans="1:16" x14ac:dyDescent="0.35">
      <c r="A2902" t="s">
        <v>3</v>
      </c>
      <c r="B2902" t="s">
        <v>47</v>
      </c>
      <c r="P2902">
        <v>17.152569488808965</v>
      </c>
    </row>
    <row r="2903" spans="1:16" x14ac:dyDescent="0.35">
      <c r="A2903" t="s">
        <v>4</v>
      </c>
      <c r="B2903" t="s">
        <v>72</v>
      </c>
      <c r="P2903">
        <v>17.139948105803558</v>
      </c>
    </row>
    <row r="2904" spans="1:16" x14ac:dyDescent="0.35">
      <c r="A2904" t="s">
        <v>4</v>
      </c>
      <c r="B2904" t="s">
        <v>61</v>
      </c>
      <c r="P2904">
        <v>25.104778723853727</v>
      </c>
    </row>
    <row r="2905" spans="1:16" x14ac:dyDescent="0.35">
      <c r="A2905" t="s">
        <v>4</v>
      </c>
      <c r="B2905" t="s">
        <v>62</v>
      </c>
      <c r="P2905">
        <v>0</v>
      </c>
    </row>
    <row r="2906" spans="1:16" x14ac:dyDescent="0.35">
      <c r="A2906" t="s">
        <v>4</v>
      </c>
      <c r="B2906" t="s">
        <v>63</v>
      </c>
      <c r="P2906">
        <v>0</v>
      </c>
    </row>
    <row r="2907" spans="1:16" x14ac:dyDescent="0.35">
      <c r="A2907" t="s">
        <v>4</v>
      </c>
      <c r="B2907" t="s">
        <v>64</v>
      </c>
      <c r="P2907">
        <v>-9.6186891662274814</v>
      </c>
    </row>
    <row r="2908" spans="1:16" x14ac:dyDescent="0.35">
      <c r="A2908" t="s">
        <v>4</v>
      </c>
      <c r="B2908" t="s">
        <v>65</v>
      </c>
      <c r="P2908">
        <v>-9.6186891662274814</v>
      </c>
    </row>
    <row r="2909" spans="1:16" x14ac:dyDescent="0.35">
      <c r="A2909" t="s">
        <v>4</v>
      </c>
      <c r="B2909" t="s">
        <v>66</v>
      </c>
      <c r="P2909">
        <v>-9.6186891662274814</v>
      </c>
    </row>
    <row r="2910" spans="1:16" x14ac:dyDescent="0.35">
      <c r="A2910" t="s">
        <v>4</v>
      </c>
      <c r="B2910" t="s">
        <v>47</v>
      </c>
      <c r="P2910">
        <v>13.388659330974834</v>
      </c>
    </row>
    <row r="2911" spans="1:16" x14ac:dyDescent="0.35">
      <c r="A2911" t="s">
        <v>5</v>
      </c>
      <c r="B2911" t="s">
        <v>72</v>
      </c>
      <c r="P2911">
        <v>24.634183495056586</v>
      </c>
    </row>
    <row r="2912" spans="1:16" x14ac:dyDescent="0.35">
      <c r="A2912" t="s">
        <v>5</v>
      </c>
      <c r="B2912" t="s">
        <v>61</v>
      </c>
      <c r="P2912">
        <v>29.524590610783946</v>
      </c>
    </row>
    <row r="2913" spans="1:16" x14ac:dyDescent="0.35">
      <c r="A2913" t="s">
        <v>5</v>
      </c>
      <c r="B2913" t="s">
        <v>62</v>
      </c>
      <c r="P2913">
        <v>0</v>
      </c>
    </row>
    <row r="2914" spans="1:16" x14ac:dyDescent="0.35">
      <c r="A2914" t="s">
        <v>5</v>
      </c>
      <c r="B2914" t="s">
        <v>63</v>
      </c>
      <c r="P2914">
        <v>0</v>
      </c>
    </row>
    <row r="2915" spans="1:16" x14ac:dyDescent="0.35">
      <c r="A2915" t="s">
        <v>5</v>
      </c>
      <c r="B2915" t="s">
        <v>64</v>
      </c>
      <c r="P2915">
        <v>-12.004567871705568</v>
      </c>
    </row>
    <row r="2916" spans="1:16" x14ac:dyDescent="0.35">
      <c r="A2916" t="s">
        <v>5</v>
      </c>
      <c r="B2916" t="s">
        <v>65</v>
      </c>
      <c r="P2916">
        <v>-12.004567871705568</v>
      </c>
    </row>
    <row r="2917" spans="1:16" x14ac:dyDescent="0.35">
      <c r="A2917" t="s">
        <v>5</v>
      </c>
      <c r="B2917" t="s">
        <v>66</v>
      </c>
      <c r="P2917">
        <v>-12.004567871705568</v>
      </c>
    </row>
    <row r="2918" spans="1:16" x14ac:dyDescent="0.35">
      <c r="A2918" t="s">
        <v>5</v>
      </c>
      <c r="B2918" t="s">
        <v>47</v>
      </c>
      <c r="P2918">
        <v>18.145070490723832</v>
      </c>
    </row>
    <row r="2919" spans="1:16" x14ac:dyDescent="0.35">
      <c r="A2919" t="s">
        <v>6</v>
      </c>
      <c r="B2919" t="s">
        <v>72</v>
      </c>
      <c r="P2919">
        <v>32.669565596155799</v>
      </c>
    </row>
    <row r="2920" spans="1:16" x14ac:dyDescent="0.35">
      <c r="A2920" t="s">
        <v>6</v>
      </c>
      <c r="B2920" t="s">
        <v>61</v>
      </c>
      <c r="P2920">
        <v>20.270206437390527</v>
      </c>
    </row>
    <row r="2921" spans="1:16" x14ac:dyDescent="0.35">
      <c r="A2921" t="s">
        <v>6</v>
      </c>
      <c r="B2921" t="s">
        <v>62</v>
      </c>
      <c r="P2921">
        <v>0</v>
      </c>
    </row>
    <row r="2922" spans="1:16" x14ac:dyDescent="0.35">
      <c r="A2922" t="s">
        <v>6</v>
      </c>
      <c r="B2922" t="s">
        <v>63</v>
      </c>
      <c r="P2922">
        <v>0</v>
      </c>
    </row>
    <row r="2923" spans="1:16" x14ac:dyDescent="0.35">
      <c r="A2923" t="s">
        <v>6</v>
      </c>
      <c r="B2923" t="s">
        <v>64</v>
      </c>
      <c r="P2923">
        <v>-13.57474716314587</v>
      </c>
    </row>
    <row r="2924" spans="1:16" x14ac:dyDescent="0.35">
      <c r="A2924" t="s">
        <v>6</v>
      </c>
      <c r="B2924" t="s">
        <v>65</v>
      </c>
      <c r="P2924">
        <v>-13.57474716314587</v>
      </c>
    </row>
    <row r="2925" spans="1:16" x14ac:dyDescent="0.35">
      <c r="A2925" t="s">
        <v>6</v>
      </c>
      <c r="B2925" t="s">
        <v>66</v>
      </c>
      <c r="P2925">
        <v>-13.57474716314587</v>
      </c>
    </row>
    <row r="2926" spans="1:16" x14ac:dyDescent="0.35">
      <c r="A2926" t="s">
        <v>6</v>
      </c>
      <c r="B2926" t="s">
        <v>47</v>
      </c>
      <c r="P2926">
        <v>12.215530544108711</v>
      </c>
    </row>
    <row r="2927" spans="1:16" x14ac:dyDescent="0.35">
      <c r="A2927" t="s">
        <v>7</v>
      </c>
      <c r="B2927" t="s">
        <v>72</v>
      </c>
      <c r="P2927">
        <v>38.522228618908471</v>
      </c>
    </row>
    <row r="2928" spans="1:16" x14ac:dyDescent="0.35">
      <c r="A2928" t="s">
        <v>7</v>
      </c>
      <c r="B2928" t="s">
        <v>61</v>
      </c>
      <c r="P2928">
        <v>22.915796651046151</v>
      </c>
    </row>
    <row r="2929" spans="1:16" x14ac:dyDescent="0.35">
      <c r="A2929" t="s">
        <v>7</v>
      </c>
      <c r="B2929" t="s">
        <v>62</v>
      </c>
      <c r="P2929">
        <v>0</v>
      </c>
    </row>
    <row r="2930" spans="1:16" x14ac:dyDescent="0.35">
      <c r="A2930" t="s">
        <v>7</v>
      </c>
      <c r="B2930" t="s">
        <v>63</v>
      </c>
      <c r="P2930">
        <v>0</v>
      </c>
    </row>
    <row r="2931" spans="1:16" x14ac:dyDescent="0.35">
      <c r="A2931" t="s">
        <v>7</v>
      </c>
      <c r="B2931" t="s">
        <v>64</v>
      </c>
      <c r="P2931">
        <v>-15.884191234686588</v>
      </c>
    </row>
    <row r="2932" spans="1:16" x14ac:dyDescent="0.35">
      <c r="A2932" t="s">
        <v>7</v>
      </c>
      <c r="B2932" t="s">
        <v>65</v>
      </c>
      <c r="P2932">
        <v>-15.884191234686588</v>
      </c>
    </row>
    <row r="2933" spans="1:16" x14ac:dyDescent="0.35">
      <c r="A2933" t="s">
        <v>7</v>
      </c>
      <c r="B2933" t="s">
        <v>66</v>
      </c>
      <c r="P2933">
        <v>-15.884191234686588</v>
      </c>
    </row>
    <row r="2934" spans="1:16" x14ac:dyDescent="0.35">
      <c r="A2934" t="s">
        <v>7</v>
      </c>
      <c r="B2934" t="s">
        <v>47</v>
      </c>
      <c r="P2934">
        <v>13.785451565894855</v>
      </c>
    </row>
    <row r="2935" spans="1:16" x14ac:dyDescent="0.35">
      <c r="A2935" t="s">
        <v>8</v>
      </c>
      <c r="B2935" t="s">
        <v>72</v>
      </c>
      <c r="P2935">
        <v>34.565623671418905</v>
      </c>
    </row>
    <row r="2936" spans="1:16" x14ac:dyDescent="0.35">
      <c r="A2936" t="s">
        <v>8</v>
      </c>
      <c r="B2936" t="s">
        <v>61</v>
      </c>
      <c r="P2936">
        <v>15.886722805115189</v>
      </c>
    </row>
    <row r="2937" spans="1:16" x14ac:dyDescent="0.35">
      <c r="A2937" t="s">
        <v>8</v>
      </c>
      <c r="B2937" t="s">
        <v>62</v>
      </c>
      <c r="P2937">
        <v>0</v>
      </c>
    </row>
    <row r="2938" spans="1:16" x14ac:dyDescent="0.35">
      <c r="A2938" t="s">
        <v>8</v>
      </c>
      <c r="B2938" t="s">
        <v>63</v>
      </c>
      <c r="P2938">
        <v>0</v>
      </c>
    </row>
    <row r="2939" spans="1:16" x14ac:dyDescent="0.35">
      <c r="A2939" t="s">
        <v>8</v>
      </c>
      <c r="B2939" t="s">
        <v>64</v>
      </c>
      <c r="P2939">
        <v>-13.67203228211952</v>
      </c>
    </row>
    <row r="2940" spans="1:16" x14ac:dyDescent="0.35">
      <c r="A2940" t="s">
        <v>8</v>
      </c>
      <c r="B2940" t="s">
        <v>65</v>
      </c>
      <c r="P2940">
        <v>-13.67203228211952</v>
      </c>
    </row>
    <row r="2941" spans="1:16" x14ac:dyDescent="0.35">
      <c r="A2941" t="s">
        <v>8</v>
      </c>
      <c r="B2941" t="s">
        <v>66</v>
      </c>
      <c r="P2941">
        <v>-13.67203228211952</v>
      </c>
    </row>
    <row r="2942" spans="1:16" x14ac:dyDescent="0.35">
      <c r="A2942" t="s">
        <v>8</v>
      </c>
      <c r="B2942" t="s">
        <v>47</v>
      </c>
      <c r="P2942">
        <v>9.4362496301755314</v>
      </c>
    </row>
    <row r="2943" spans="1:16" x14ac:dyDescent="0.35">
      <c r="A2943" t="s">
        <v>9</v>
      </c>
      <c r="B2943" t="s">
        <v>72</v>
      </c>
      <c r="P2943">
        <v>30.557875943676905</v>
      </c>
    </row>
    <row r="2944" spans="1:16" x14ac:dyDescent="0.35">
      <c r="A2944" t="s">
        <v>9</v>
      </c>
      <c r="B2944" t="s">
        <v>61</v>
      </c>
      <c r="P2944">
        <v>19.669584250532729</v>
      </c>
    </row>
    <row r="2945" spans="1:16" x14ac:dyDescent="0.35">
      <c r="A2945" t="s">
        <v>9</v>
      </c>
      <c r="B2945" t="s">
        <v>62</v>
      </c>
      <c r="P2945">
        <v>0</v>
      </c>
    </row>
    <row r="2946" spans="1:16" x14ac:dyDescent="0.35">
      <c r="A2946" t="s">
        <v>9</v>
      </c>
      <c r="B2946" t="s">
        <v>63</v>
      </c>
      <c r="P2946">
        <v>0</v>
      </c>
    </row>
    <row r="2947" spans="1:16" x14ac:dyDescent="0.35">
      <c r="A2947" t="s">
        <v>9</v>
      </c>
      <c r="B2947" t="s">
        <v>64</v>
      </c>
      <c r="P2947">
        <v>-12.785439523294299</v>
      </c>
    </row>
    <row r="2948" spans="1:16" x14ac:dyDescent="0.35">
      <c r="A2948" t="s">
        <v>9</v>
      </c>
      <c r="B2948" t="s">
        <v>65</v>
      </c>
      <c r="P2948">
        <v>-12.785439523294299</v>
      </c>
    </row>
    <row r="2949" spans="1:16" x14ac:dyDescent="0.35">
      <c r="A2949" t="s">
        <v>9</v>
      </c>
      <c r="B2949" t="s">
        <v>66</v>
      </c>
      <c r="P2949">
        <v>-12.785439523294299</v>
      </c>
    </row>
    <row r="2950" spans="1:16" x14ac:dyDescent="0.35">
      <c r="A2950" t="s">
        <v>9</v>
      </c>
      <c r="B2950" t="s">
        <v>47</v>
      </c>
      <c r="P2950">
        <v>11.871141624326734</v>
      </c>
    </row>
    <row r="2951" spans="1:16" x14ac:dyDescent="0.35">
      <c r="A2951" t="s">
        <v>10</v>
      </c>
      <c r="B2951" t="s">
        <v>72</v>
      </c>
      <c r="P2951">
        <v>35.263192026950485</v>
      </c>
    </row>
    <row r="2952" spans="1:16" x14ac:dyDescent="0.35">
      <c r="A2952" t="s">
        <v>10</v>
      </c>
      <c r="B2952" t="s">
        <v>61</v>
      </c>
      <c r="P2952">
        <v>19.219901202051396</v>
      </c>
    </row>
    <row r="2953" spans="1:16" x14ac:dyDescent="0.35">
      <c r="A2953" t="s">
        <v>10</v>
      </c>
      <c r="B2953" t="s">
        <v>62</v>
      </c>
      <c r="P2953">
        <v>0</v>
      </c>
    </row>
    <row r="2954" spans="1:16" x14ac:dyDescent="0.35">
      <c r="A2954" t="s">
        <v>10</v>
      </c>
      <c r="B2954" t="s">
        <v>63</v>
      </c>
      <c r="P2954">
        <v>0</v>
      </c>
    </row>
    <row r="2955" spans="1:16" x14ac:dyDescent="0.35">
      <c r="A2955" t="s">
        <v>10</v>
      </c>
      <c r="B2955" t="s">
        <v>64</v>
      </c>
      <c r="P2955">
        <v>-14.32211767085478</v>
      </c>
    </row>
    <row r="2956" spans="1:16" x14ac:dyDescent="0.35">
      <c r="A2956" t="s">
        <v>10</v>
      </c>
      <c r="B2956" t="s">
        <v>65</v>
      </c>
      <c r="P2956">
        <v>-14.32211767085478</v>
      </c>
    </row>
    <row r="2957" spans="1:16" x14ac:dyDescent="0.35">
      <c r="A2957" t="s">
        <v>10</v>
      </c>
      <c r="B2957" t="s">
        <v>66</v>
      </c>
      <c r="P2957">
        <v>-14.32211767085478</v>
      </c>
    </row>
    <row r="2958" spans="1:16" x14ac:dyDescent="0.35">
      <c r="A2958" t="s">
        <v>10</v>
      </c>
      <c r="B2958" t="s">
        <v>47</v>
      </c>
      <c r="P2958">
        <v>11.51674021643754</v>
      </c>
    </row>
    <row r="2959" spans="1:16" x14ac:dyDescent="0.35">
      <c r="A2959" t="s">
        <v>11</v>
      </c>
      <c r="B2959" t="s">
        <v>72</v>
      </c>
      <c r="P2959">
        <v>38.477477383248782</v>
      </c>
    </row>
    <row r="2960" spans="1:16" x14ac:dyDescent="0.35">
      <c r="A2960" t="s">
        <v>11</v>
      </c>
      <c r="B2960" t="s">
        <v>61</v>
      </c>
      <c r="P2960">
        <v>20.566479749699017</v>
      </c>
    </row>
    <row r="2961" spans="1:16" x14ac:dyDescent="0.35">
      <c r="A2961" t="s">
        <v>11</v>
      </c>
      <c r="B2961" t="s">
        <v>62</v>
      </c>
      <c r="P2961">
        <v>0</v>
      </c>
    </row>
    <row r="2962" spans="1:16" x14ac:dyDescent="0.35">
      <c r="A2962" t="s">
        <v>11</v>
      </c>
      <c r="B2962" t="s">
        <v>63</v>
      </c>
      <c r="P2962">
        <v>0</v>
      </c>
    </row>
    <row r="2963" spans="1:16" x14ac:dyDescent="0.35">
      <c r="A2963" t="s">
        <v>11</v>
      </c>
      <c r="B2963" t="s">
        <v>64</v>
      </c>
      <c r="P2963">
        <v>-15.577252637349607</v>
      </c>
    </row>
    <row r="2964" spans="1:16" x14ac:dyDescent="0.35">
      <c r="A2964" t="s">
        <v>11</v>
      </c>
      <c r="B2964" t="s">
        <v>65</v>
      </c>
      <c r="P2964">
        <v>-15.577252637349607</v>
      </c>
    </row>
    <row r="2965" spans="1:16" x14ac:dyDescent="0.35">
      <c r="A2965" t="s">
        <v>11</v>
      </c>
      <c r="B2965" t="s">
        <v>66</v>
      </c>
      <c r="P2965">
        <v>-15.577252637349607</v>
      </c>
    </row>
    <row r="2966" spans="1:16" x14ac:dyDescent="0.35">
      <c r="A2966" t="s">
        <v>11</v>
      </c>
      <c r="B2966" t="s">
        <v>47</v>
      </c>
      <c r="P2966">
        <v>12.31219922089897</v>
      </c>
    </row>
    <row r="2967" spans="1:16" x14ac:dyDescent="0.35">
      <c r="A2967" t="s">
        <v>12</v>
      </c>
      <c r="B2967" t="s">
        <v>72</v>
      </c>
      <c r="P2967">
        <v>49.401648923121797</v>
      </c>
    </row>
    <row r="2968" spans="1:16" x14ac:dyDescent="0.35">
      <c r="A2968" t="s">
        <v>12</v>
      </c>
      <c r="B2968" t="s">
        <v>61</v>
      </c>
      <c r="P2968">
        <v>21.806209248923889</v>
      </c>
    </row>
    <row r="2969" spans="1:16" x14ac:dyDescent="0.35">
      <c r="A2969" t="s">
        <v>12</v>
      </c>
      <c r="B2969" t="s">
        <v>62</v>
      </c>
      <c r="P2969">
        <v>0</v>
      </c>
    </row>
    <row r="2970" spans="1:16" x14ac:dyDescent="0.35">
      <c r="A2970" t="s">
        <v>12</v>
      </c>
      <c r="B2970" t="s">
        <v>63</v>
      </c>
      <c r="P2970">
        <v>0</v>
      </c>
    </row>
    <row r="2971" spans="1:16" x14ac:dyDescent="0.35">
      <c r="A2971" t="s">
        <v>12</v>
      </c>
      <c r="B2971" t="s">
        <v>64</v>
      </c>
      <c r="P2971">
        <v>-19.428553716950347</v>
      </c>
    </row>
    <row r="2972" spans="1:16" x14ac:dyDescent="0.35">
      <c r="A2972" t="s">
        <v>12</v>
      </c>
      <c r="B2972" t="s">
        <v>65</v>
      </c>
      <c r="P2972">
        <v>-19.428553716950347</v>
      </c>
    </row>
    <row r="2973" spans="1:16" x14ac:dyDescent="0.35">
      <c r="A2973" t="s">
        <v>12</v>
      </c>
      <c r="B2973" t="s">
        <v>66</v>
      </c>
      <c r="P2973">
        <v>-19.428553716950347</v>
      </c>
    </row>
    <row r="2974" spans="1:16" x14ac:dyDescent="0.35">
      <c r="A2974" t="s">
        <v>12</v>
      </c>
      <c r="B2974" t="s">
        <v>47</v>
      </c>
      <c r="P2974">
        <v>12.922197021194648</v>
      </c>
    </row>
    <row r="2975" spans="1:16" x14ac:dyDescent="0.35">
      <c r="A2975" t="s">
        <v>13</v>
      </c>
      <c r="B2975" t="s">
        <v>72</v>
      </c>
      <c r="P2975">
        <v>20.691436087778193</v>
      </c>
    </row>
    <row r="2976" spans="1:16" x14ac:dyDescent="0.35">
      <c r="A2976" t="s">
        <v>13</v>
      </c>
      <c r="B2976" t="s">
        <v>61</v>
      </c>
      <c r="P2976">
        <v>27.767678756752332</v>
      </c>
    </row>
    <row r="2977" spans="1:16" x14ac:dyDescent="0.35">
      <c r="A2977" t="s">
        <v>13</v>
      </c>
      <c r="B2977" t="s">
        <v>62</v>
      </c>
      <c r="P2977">
        <v>0</v>
      </c>
    </row>
    <row r="2978" spans="1:16" x14ac:dyDescent="0.35">
      <c r="A2978" t="s">
        <v>13</v>
      </c>
      <c r="B2978" t="s">
        <v>63</v>
      </c>
      <c r="P2978">
        <v>0</v>
      </c>
    </row>
    <row r="2979" spans="1:16" x14ac:dyDescent="0.35">
      <c r="A2979" t="s">
        <v>13</v>
      </c>
      <c r="B2979" t="s">
        <v>64</v>
      </c>
      <c r="P2979">
        <v>-10.638957378066026</v>
      </c>
    </row>
    <row r="2980" spans="1:16" x14ac:dyDescent="0.35">
      <c r="A2980" t="s">
        <v>13</v>
      </c>
      <c r="B2980" t="s">
        <v>65</v>
      </c>
      <c r="P2980">
        <v>-10.638957378066026</v>
      </c>
    </row>
    <row r="2981" spans="1:16" x14ac:dyDescent="0.35">
      <c r="A2981" t="s">
        <v>13</v>
      </c>
      <c r="B2981" t="s">
        <v>66</v>
      </c>
      <c r="P2981">
        <v>-10.638957378066026</v>
      </c>
    </row>
    <row r="2982" spans="1:16" x14ac:dyDescent="0.35">
      <c r="A2982" t="s">
        <v>13</v>
      </c>
      <c r="B2982" t="s">
        <v>47</v>
      </c>
      <c r="P2982">
        <v>16.542242710332452</v>
      </c>
    </row>
    <row r="2983" spans="1:16" x14ac:dyDescent="0.35">
      <c r="A2983" t="s">
        <v>14</v>
      </c>
      <c r="B2983" t="s">
        <v>72</v>
      </c>
      <c r="P2983">
        <v>28.247732126214014</v>
      </c>
    </row>
    <row r="2984" spans="1:16" x14ac:dyDescent="0.35">
      <c r="A2984" t="s">
        <v>14</v>
      </c>
      <c r="B2984" t="s">
        <v>61</v>
      </c>
      <c r="P2984">
        <v>28.744240523979514</v>
      </c>
    </row>
    <row r="2985" spans="1:16" x14ac:dyDescent="0.35">
      <c r="A2985" t="s">
        <v>14</v>
      </c>
      <c r="B2985" t="s">
        <v>62</v>
      </c>
      <c r="P2985">
        <v>0</v>
      </c>
    </row>
    <row r="2986" spans="1:16" x14ac:dyDescent="0.35">
      <c r="A2986" t="s">
        <v>14</v>
      </c>
      <c r="B2986" t="s">
        <v>63</v>
      </c>
      <c r="P2986">
        <v>0</v>
      </c>
    </row>
    <row r="2987" spans="1:16" x14ac:dyDescent="0.35">
      <c r="A2987" t="s">
        <v>14</v>
      </c>
      <c r="B2987" t="s">
        <v>64</v>
      </c>
      <c r="P2987">
        <v>-13.130663763147425</v>
      </c>
    </row>
    <row r="2988" spans="1:16" x14ac:dyDescent="0.35">
      <c r="A2988" t="s">
        <v>14</v>
      </c>
      <c r="B2988" t="s">
        <v>65</v>
      </c>
      <c r="P2988">
        <v>-13.130663763147425</v>
      </c>
    </row>
    <row r="2989" spans="1:16" x14ac:dyDescent="0.35">
      <c r="A2989" t="s">
        <v>14</v>
      </c>
      <c r="B2989" t="s">
        <v>66</v>
      </c>
      <c r="P2989">
        <v>-13.130663763147425</v>
      </c>
    </row>
    <row r="2990" spans="1:16" x14ac:dyDescent="0.35">
      <c r="A2990" t="s">
        <v>14</v>
      </c>
      <c r="B2990" t="s">
        <v>47</v>
      </c>
      <c r="P2990">
        <v>17.599981360751258</v>
      </c>
    </row>
    <row r="2991" spans="1:16" x14ac:dyDescent="0.35">
      <c r="A2991" t="s">
        <v>15</v>
      </c>
      <c r="B2991" t="s">
        <v>72</v>
      </c>
      <c r="P2991">
        <v>48.649267976317148</v>
      </c>
    </row>
    <row r="2992" spans="1:16" x14ac:dyDescent="0.35">
      <c r="A2992" t="s">
        <v>15</v>
      </c>
      <c r="B2992" t="s">
        <v>61</v>
      </c>
      <c r="P2992">
        <v>25.342855245201552</v>
      </c>
    </row>
    <row r="2993" spans="1:16" x14ac:dyDescent="0.35">
      <c r="A2993" t="s">
        <v>15</v>
      </c>
      <c r="B2993" t="s">
        <v>62</v>
      </c>
      <c r="P2993">
        <v>0</v>
      </c>
    </row>
    <row r="2994" spans="1:16" x14ac:dyDescent="0.35">
      <c r="A2994" t="s">
        <v>15</v>
      </c>
      <c r="B2994" t="s">
        <v>63</v>
      </c>
      <c r="P2994">
        <v>0</v>
      </c>
    </row>
    <row r="2995" spans="1:16" x14ac:dyDescent="0.35">
      <c r="A2995" t="s">
        <v>15</v>
      </c>
      <c r="B2995" t="s">
        <v>64</v>
      </c>
      <c r="P2995">
        <v>-19.613170155121541</v>
      </c>
    </row>
    <row r="2996" spans="1:16" x14ac:dyDescent="0.35">
      <c r="A2996" t="s">
        <v>15</v>
      </c>
      <c r="B2996" t="s">
        <v>65</v>
      </c>
      <c r="P2996">
        <v>-19.613170155121541</v>
      </c>
    </row>
    <row r="2997" spans="1:16" x14ac:dyDescent="0.35">
      <c r="A2997" t="s">
        <v>15</v>
      </c>
      <c r="B2997" t="s">
        <v>66</v>
      </c>
      <c r="P2997">
        <v>-19.613170155121541</v>
      </c>
    </row>
    <row r="2998" spans="1:16" x14ac:dyDescent="0.35">
      <c r="A2998" t="s">
        <v>15</v>
      </c>
      <c r="B2998" t="s">
        <v>47</v>
      </c>
      <c r="P2998">
        <v>15.152612756154081</v>
      </c>
    </row>
    <row r="2999" spans="1:16" x14ac:dyDescent="0.35">
      <c r="A2999" t="s">
        <v>16</v>
      </c>
      <c r="B2999" t="s">
        <v>72</v>
      </c>
      <c r="P2999">
        <v>37.425366008651032</v>
      </c>
    </row>
    <row r="3000" spans="1:16" x14ac:dyDescent="0.35">
      <c r="A3000" t="s">
        <v>16</v>
      </c>
      <c r="B3000" t="s">
        <v>61</v>
      </c>
      <c r="P3000">
        <v>21.005361937423839</v>
      </c>
    </row>
    <row r="3001" spans="1:16" x14ac:dyDescent="0.35">
      <c r="A3001" t="s">
        <v>16</v>
      </c>
      <c r="B3001" t="s">
        <v>62</v>
      </c>
      <c r="P3001">
        <v>0</v>
      </c>
    </row>
    <row r="3002" spans="1:16" x14ac:dyDescent="0.35">
      <c r="A3002" t="s">
        <v>16</v>
      </c>
      <c r="B3002" t="s">
        <v>63</v>
      </c>
      <c r="P3002">
        <v>0</v>
      </c>
    </row>
    <row r="3003" spans="1:16" x14ac:dyDescent="0.35">
      <c r="A3003" t="s">
        <v>16</v>
      </c>
      <c r="B3003" t="s">
        <v>64</v>
      </c>
      <c r="P3003">
        <v>-15.275672497440249</v>
      </c>
    </row>
    <row r="3004" spans="1:16" x14ac:dyDescent="0.35">
      <c r="A3004" t="s">
        <v>16</v>
      </c>
      <c r="B3004" t="s">
        <v>65</v>
      </c>
      <c r="P3004">
        <v>-15.275672497440249</v>
      </c>
    </row>
    <row r="3005" spans="1:16" x14ac:dyDescent="0.35">
      <c r="A3005" t="s">
        <v>16</v>
      </c>
      <c r="B3005" t="s">
        <v>66</v>
      </c>
      <c r="P3005">
        <v>-15.275672497440249</v>
      </c>
    </row>
    <row r="3006" spans="1:16" x14ac:dyDescent="0.35">
      <c r="A3006" t="s">
        <v>16</v>
      </c>
      <c r="B3006" t="s">
        <v>47</v>
      </c>
      <c r="P3006">
        <v>12.603710453754124</v>
      </c>
    </row>
    <row r="3007" spans="1:16" x14ac:dyDescent="0.35">
      <c r="A3007" t="s">
        <v>17</v>
      </c>
      <c r="B3007" t="s">
        <v>72</v>
      </c>
      <c r="P3007">
        <v>25.693079499694271</v>
      </c>
    </row>
    <row r="3008" spans="1:16" x14ac:dyDescent="0.35">
      <c r="A3008" t="s">
        <v>17</v>
      </c>
      <c r="B3008" t="s">
        <v>61</v>
      </c>
      <c r="P3008">
        <v>24.819209137703726</v>
      </c>
    </row>
    <row r="3009" spans="1:16" x14ac:dyDescent="0.35">
      <c r="A3009" t="s">
        <v>17</v>
      </c>
      <c r="B3009" t="s">
        <v>62</v>
      </c>
      <c r="P3009">
        <v>0</v>
      </c>
    </row>
    <row r="3010" spans="1:16" x14ac:dyDescent="0.35">
      <c r="A3010" t="s">
        <v>17</v>
      </c>
      <c r="B3010" t="s">
        <v>63</v>
      </c>
      <c r="P3010">
        <v>0</v>
      </c>
    </row>
    <row r="3011" spans="1:16" x14ac:dyDescent="0.35">
      <c r="A3011" t="s">
        <v>17</v>
      </c>
      <c r="B3011" t="s">
        <v>64</v>
      </c>
      <c r="P3011">
        <v>-11.77853194964872</v>
      </c>
    </row>
    <row r="3012" spans="1:16" x14ac:dyDescent="0.35">
      <c r="A3012" t="s">
        <v>17</v>
      </c>
      <c r="B3012" t="s">
        <v>65</v>
      </c>
      <c r="P3012">
        <v>-11.77853194964872</v>
      </c>
    </row>
    <row r="3013" spans="1:16" x14ac:dyDescent="0.35">
      <c r="A3013" t="s">
        <v>17</v>
      </c>
      <c r="B3013" t="s">
        <v>66</v>
      </c>
      <c r="P3013">
        <v>-11.77853194964872</v>
      </c>
    </row>
    <row r="3014" spans="1:16" x14ac:dyDescent="0.35">
      <c r="A3014" t="s">
        <v>17</v>
      </c>
      <c r="B3014" t="s">
        <v>47</v>
      </c>
      <c r="P3014">
        <v>15.176692788451838</v>
      </c>
    </row>
    <row r="3015" spans="1:16" x14ac:dyDescent="0.35">
      <c r="A3015" t="s">
        <v>18</v>
      </c>
      <c r="B3015" t="s">
        <v>72</v>
      </c>
      <c r="P3015">
        <v>28.720634621996684</v>
      </c>
    </row>
    <row r="3016" spans="1:16" x14ac:dyDescent="0.35">
      <c r="A3016" t="s">
        <v>18</v>
      </c>
      <c r="B3016" t="s">
        <v>61</v>
      </c>
      <c r="P3016">
        <v>24.870539419398085</v>
      </c>
    </row>
    <row r="3017" spans="1:16" x14ac:dyDescent="0.35">
      <c r="A3017" t="s">
        <v>18</v>
      </c>
      <c r="B3017" t="s">
        <v>62</v>
      </c>
      <c r="P3017">
        <v>0</v>
      </c>
    </row>
    <row r="3018" spans="1:16" x14ac:dyDescent="0.35">
      <c r="A3018" t="s">
        <v>18</v>
      </c>
      <c r="B3018" t="s">
        <v>63</v>
      </c>
      <c r="P3018">
        <v>0</v>
      </c>
    </row>
    <row r="3019" spans="1:16" x14ac:dyDescent="0.35">
      <c r="A3019" t="s">
        <v>18</v>
      </c>
      <c r="B3019" t="s">
        <v>64</v>
      </c>
      <c r="P3019">
        <v>-12.809593614713179</v>
      </c>
    </row>
    <row r="3020" spans="1:16" x14ac:dyDescent="0.35">
      <c r="A3020" t="s">
        <v>18</v>
      </c>
      <c r="B3020" t="s">
        <v>65</v>
      </c>
      <c r="P3020">
        <v>-12.809593614713179</v>
      </c>
    </row>
    <row r="3021" spans="1:16" x14ac:dyDescent="0.35">
      <c r="A3021" t="s">
        <v>18</v>
      </c>
      <c r="B3021" t="s">
        <v>66</v>
      </c>
      <c r="P3021">
        <v>-12.809593614713179</v>
      </c>
    </row>
    <row r="3022" spans="1:16" x14ac:dyDescent="0.35">
      <c r="A3022" t="s">
        <v>18</v>
      </c>
      <c r="B3022" t="s">
        <v>47</v>
      </c>
      <c r="P3022">
        <v>15.162393197255227</v>
      </c>
    </row>
    <row r="3023" spans="1:16" x14ac:dyDescent="0.35">
      <c r="A3023" t="s">
        <v>19</v>
      </c>
      <c r="B3023" t="s">
        <v>72</v>
      </c>
      <c r="P3023">
        <v>148.44867435962337</v>
      </c>
    </row>
    <row r="3024" spans="1:16" x14ac:dyDescent="0.35">
      <c r="A3024" t="s">
        <v>19</v>
      </c>
      <c r="B3024" t="s">
        <v>61</v>
      </c>
      <c r="P3024">
        <v>59.634454839562288</v>
      </c>
    </row>
    <row r="3025" spans="1:16" x14ac:dyDescent="0.35">
      <c r="A3025" t="s">
        <v>19</v>
      </c>
      <c r="B3025" t="s">
        <v>62</v>
      </c>
      <c r="P3025">
        <v>0</v>
      </c>
    </row>
    <row r="3026" spans="1:16" x14ac:dyDescent="0.35">
      <c r="A3026" t="s">
        <v>19</v>
      </c>
      <c r="B3026" t="s">
        <v>63</v>
      </c>
      <c r="P3026">
        <v>0</v>
      </c>
    </row>
    <row r="3027" spans="1:16" x14ac:dyDescent="0.35">
      <c r="A3027" t="s">
        <v>19</v>
      </c>
      <c r="B3027" t="s">
        <v>64</v>
      </c>
      <c r="P3027">
        <v>-57.649739501303834</v>
      </c>
    </row>
    <row r="3028" spans="1:16" x14ac:dyDescent="0.35">
      <c r="A3028" t="s">
        <v>19</v>
      </c>
      <c r="B3028" t="s">
        <v>65</v>
      </c>
      <c r="P3028">
        <v>-57.649739501303834</v>
      </c>
    </row>
    <row r="3029" spans="1:16" x14ac:dyDescent="0.35">
      <c r="A3029" t="s">
        <v>19</v>
      </c>
      <c r="B3029" t="s">
        <v>66</v>
      </c>
      <c r="P3029">
        <v>-57.649739501303834</v>
      </c>
    </row>
    <row r="3030" spans="1:16" x14ac:dyDescent="0.35">
      <c r="A3030" t="s">
        <v>19</v>
      </c>
      <c r="B3030" t="s">
        <v>47</v>
      </c>
      <c r="P3030">
        <v>35.133910695274174</v>
      </c>
    </row>
    <row r="3031" spans="1:16" x14ac:dyDescent="0.35">
      <c r="A3031" t="s">
        <v>20</v>
      </c>
      <c r="B3031" t="s">
        <v>72</v>
      </c>
      <c r="P3031">
        <v>15.669474991922915</v>
      </c>
    </row>
    <row r="3032" spans="1:16" x14ac:dyDescent="0.35">
      <c r="A3032" t="s">
        <v>20</v>
      </c>
      <c r="B3032" t="s">
        <v>61</v>
      </c>
      <c r="P3032">
        <v>10.751829386080967</v>
      </c>
    </row>
    <row r="3033" spans="1:16" x14ac:dyDescent="0.35">
      <c r="A3033" t="s">
        <v>20</v>
      </c>
      <c r="B3033" t="s">
        <v>62</v>
      </c>
      <c r="P3033">
        <v>0</v>
      </c>
    </row>
    <row r="3034" spans="1:16" x14ac:dyDescent="0.35">
      <c r="A3034" t="s">
        <v>20</v>
      </c>
      <c r="B3034" t="s">
        <v>63</v>
      </c>
      <c r="P3034">
        <v>0</v>
      </c>
    </row>
    <row r="3035" spans="1:16" x14ac:dyDescent="0.35">
      <c r="A3035" t="s">
        <v>20</v>
      </c>
      <c r="B3035" t="s">
        <v>64</v>
      </c>
      <c r="P3035">
        <v>-6.6387971892406812</v>
      </c>
    </row>
    <row r="3036" spans="1:16" x14ac:dyDescent="0.35">
      <c r="A3036" t="s">
        <v>20</v>
      </c>
      <c r="B3036" t="s">
        <v>65</v>
      </c>
      <c r="P3036">
        <v>-6.6387971892406812</v>
      </c>
    </row>
    <row r="3037" spans="1:16" x14ac:dyDescent="0.35">
      <c r="A3037" t="s">
        <v>20</v>
      </c>
      <c r="B3037" t="s">
        <v>66</v>
      </c>
      <c r="P3037">
        <v>-6.6387971892406812</v>
      </c>
    </row>
    <row r="3038" spans="1:16" x14ac:dyDescent="0.35">
      <c r="A3038" t="s">
        <v>20</v>
      </c>
      <c r="B3038" t="s">
        <v>47</v>
      </c>
      <c r="P3038">
        <v>6.5049128102818399</v>
      </c>
    </row>
    <row r="3039" spans="1:16" x14ac:dyDescent="0.35">
      <c r="A3039" t="s">
        <v>21</v>
      </c>
      <c r="B3039" t="s">
        <v>72</v>
      </c>
      <c r="P3039">
        <v>40.670266237764999</v>
      </c>
    </row>
    <row r="3040" spans="1:16" x14ac:dyDescent="0.35">
      <c r="A3040" t="s">
        <v>21</v>
      </c>
      <c r="B3040" t="s">
        <v>61</v>
      </c>
      <c r="P3040">
        <v>17.177646348629612</v>
      </c>
    </row>
    <row r="3041" spans="1:16" x14ac:dyDescent="0.35">
      <c r="A3041" t="s">
        <v>21</v>
      </c>
      <c r="B3041" t="s">
        <v>62</v>
      </c>
      <c r="P3041">
        <v>0</v>
      </c>
    </row>
    <row r="3042" spans="1:16" x14ac:dyDescent="0.35">
      <c r="A3042" t="s">
        <v>21</v>
      </c>
      <c r="B3042" t="s">
        <v>63</v>
      </c>
      <c r="P3042">
        <v>0</v>
      </c>
    </row>
    <row r="3043" spans="1:16" x14ac:dyDescent="0.35">
      <c r="A3043" t="s">
        <v>21</v>
      </c>
      <c r="B3043" t="s">
        <v>64</v>
      </c>
      <c r="P3043">
        <v>-15.898505913772011</v>
      </c>
    </row>
    <row r="3044" spans="1:16" x14ac:dyDescent="0.35">
      <c r="A3044" t="s">
        <v>21</v>
      </c>
      <c r="B3044" t="s">
        <v>65</v>
      </c>
      <c r="P3044">
        <v>-15.898505913772011</v>
      </c>
    </row>
    <row r="3045" spans="1:16" x14ac:dyDescent="0.35">
      <c r="A3045" t="s">
        <v>21</v>
      </c>
      <c r="B3045" t="s">
        <v>66</v>
      </c>
      <c r="P3045">
        <v>-15.898505913772011</v>
      </c>
    </row>
    <row r="3046" spans="1:16" x14ac:dyDescent="0.35">
      <c r="A3046" t="s">
        <v>21</v>
      </c>
      <c r="B3046" t="s">
        <v>47</v>
      </c>
      <c r="P3046">
        <v>10.152394845078577</v>
      </c>
    </row>
    <row r="3047" spans="1:16" x14ac:dyDescent="0.35">
      <c r="A3047" t="s">
        <v>22</v>
      </c>
      <c r="B3047" t="s">
        <v>72</v>
      </c>
      <c r="P3047">
        <v>33.091073946049519</v>
      </c>
    </row>
    <row r="3048" spans="1:16" x14ac:dyDescent="0.35">
      <c r="A3048" t="s">
        <v>22</v>
      </c>
      <c r="B3048" t="s">
        <v>61</v>
      </c>
      <c r="P3048">
        <v>31.673542020312638</v>
      </c>
    </row>
    <row r="3049" spans="1:16" x14ac:dyDescent="0.35">
      <c r="A3049" t="s">
        <v>22</v>
      </c>
      <c r="B3049" t="s">
        <v>62</v>
      </c>
      <c r="P3049">
        <v>0</v>
      </c>
    </row>
    <row r="3050" spans="1:16" x14ac:dyDescent="0.35">
      <c r="A3050" t="s">
        <v>22</v>
      </c>
      <c r="B3050" t="s">
        <v>63</v>
      </c>
      <c r="P3050">
        <v>0</v>
      </c>
    </row>
    <row r="3051" spans="1:16" x14ac:dyDescent="0.35">
      <c r="A3051" t="s">
        <v>22</v>
      </c>
      <c r="B3051" t="s">
        <v>64</v>
      </c>
      <c r="P3051">
        <v>-15.1337374693199</v>
      </c>
    </row>
    <row r="3052" spans="1:16" x14ac:dyDescent="0.35">
      <c r="A3052" t="s">
        <v>22</v>
      </c>
      <c r="B3052" t="s">
        <v>65</v>
      </c>
      <c r="P3052">
        <v>-15.1337374693199</v>
      </c>
    </row>
    <row r="3053" spans="1:16" x14ac:dyDescent="0.35">
      <c r="A3053" t="s">
        <v>22</v>
      </c>
      <c r="B3053" t="s">
        <v>66</v>
      </c>
      <c r="P3053">
        <v>-15.1337374693199</v>
      </c>
    </row>
    <row r="3054" spans="1:16" x14ac:dyDescent="0.35">
      <c r="A3054" t="s">
        <v>22</v>
      </c>
      <c r="B3054" t="s">
        <v>47</v>
      </c>
      <c r="P3054">
        <v>19.363403558402464</v>
      </c>
    </row>
    <row r="3055" spans="1:16" x14ac:dyDescent="0.35">
      <c r="A3055" t="s">
        <v>23</v>
      </c>
      <c r="B3055" t="s">
        <v>72</v>
      </c>
      <c r="P3055">
        <v>24.139141575263434</v>
      </c>
    </row>
    <row r="3056" spans="1:16" x14ac:dyDescent="0.35">
      <c r="A3056" t="s">
        <v>23</v>
      </c>
      <c r="B3056" t="s">
        <v>61</v>
      </c>
      <c r="P3056">
        <v>15.952734762537563</v>
      </c>
    </row>
    <row r="3057" spans="1:16" x14ac:dyDescent="0.35">
      <c r="A3057" t="s">
        <v>23</v>
      </c>
      <c r="B3057" t="s">
        <v>62</v>
      </c>
      <c r="P3057">
        <v>0</v>
      </c>
    </row>
    <row r="3058" spans="1:16" x14ac:dyDescent="0.35">
      <c r="A3058" t="s">
        <v>23</v>
      </c>
      <c r="B3058" t="s">
        <v>63</v>
      </c>
      <c r="P3058">
        <v>0</v>
      </c>
    </row>
    <row r="3059" spans="1:16" x14ac:dyDescent="0.35">
      <c r="A3059" t="s">
        <v>23</v>
      </c>
      <c r="B3059" t="s">
        <v>64</v>
      </c>
      <c r="P3059">
        <v>-10.151352988342611</v>
      </c>
    </row>
    <row r="3060" spans="1:16" x14ac:dyDescent="0.35">
      <c r="A3060" t="s">
        <v>23</v>
      </c>
      <c r="B3060" t="s">
        <v>65</v>
      </c>
      <c r="P3060">
        <v>-10.151352988342611</v>
      </c>
    </row>
    <row r="3061" spans="1:16" x14ac:dyDescent="0.35">
      <c r="A3061" t="s">
        <v>23</v>
      </c>
      <c r="B3061" t="s">
        <v>66</v>
      </c>
      <c r="P3061">
        <v>-10.151352988342611</v>
      </c>
    </row>
    <row r="3062" spans="1:16" x14ac:dyDescent="0.35">
      <c r="A3062" t="s">
        <v>23</v>
      </c>
      <c r="B3062" t="s">
        <v>47</v>
      </c>
      <c r="P3062">
        <v>9.6378173727731689</v>
      </c>
    </row>
    <row r="3063" spans="1:16" x14ac:dyDescent="0.35">
      <c r="A3063" t="s">
        <v>24</v>
      </c>
      <c r="B3063" t="s">
        <v>72</v>
      </c>
      <c r="P3063">
        <v>16.903035916334531</v>
      </c>
    </row>
    <row r="3064" spans="1:16" x14ac:dyDescent="0.35">
      <c r="A3064" t="s">
        <v>24</v>
      </c>
      <c r="B3064" t="s">
        <v>61</v>
      </c>
      <c r="P3064">
        <v>23.371115071638357</v>
      </c>
    </row>
    <row r="3065" spans="1:16" x14ac:dyDescent="0.35">
      <c r="A3065" t="s">
        <v>24</v>
      </c>
      <c r="B3065" t="s">
        <v>62</v>
      </c>
      <c r="P3065">
        <v>0</v>
      </c>
    </row>
    <row r="3066" spans="1:16" x14ac:dyDescent="0.35">
      <c r="A3066" t="s">
        <v>24</v>
      </c>
      <c r="B3066" t="s">
        <v>63</v>
      </c>
      <c r="P3066">
        <v>0</v>
      </c>
    </row>
    <row r="3067" spans="1:16" x14ac:dyDescent="0.35">
      <c r="A3067" t="s">
        <v>24</v>
      </c>
      <c r="B3067" t="s">
        <v>64</v>
      </c>
      <c r="P3067">
        <v>-8.9544502190185273</v>
      </c>
    </row>
    <row r="3068" spans="1:16" x14ac:dyDescent="0.35">
      <c r="A3068" t="s">
        <v>24</v>
      </c>
      <c r="B3068" t="s">
        <v>65</v>
      </c>
      <c r="P3068">
        <v>-8.9544502190185273</v>
      </c>
    </row>
    <row r="3069" spans="1:16" x14ac:dyDescent="0.35">
      <c r="A3069" t="s">
        <v>24</v>
      </c>
      <c r="B3069" t="s">
        <v>66</v>
      </c>
      <c r="P3069">
        <v>-8.9544502190185273</v>
      </c>
    </row>
    <row r="3070" spans="1:16" x14ac:dyDescent="0.35">
      <c r="A3070" t="s">
        <v>24</v>
      </c>
      <c r="B3070" t="s">
        <v>47</v>
      </c>
      <c r="P3070">
        <v>13.41080033091731</v>
      </c>
    </row>
    <row r="3071" spans="1:16" x14ac:dyDescent="0.35">
      <c r="A3071" t="s">
        <v>25</v>
      </c>
      <c r="B3071" t="s">
        <v>72</v>
      </c>
      <c r="P3071">
        <v>26.946676646599187</v>
      </c>
    </row>
    <row r="3072" spans="1:16" x14ac:dyDescent="0.35">
      <c r="A3072" t="s">
        <v>25</v>
      </c>
      <c r="B3072" t="s">
        <v>61</v>
      </c>
      <c r="P3072">
        <v>27.512413480205485</v>
      </c>
    </row>
    <row r="3073" spans="1:16" x14ac:dyDescent="0.35">
      <c r="A3073" t="s">
        <v>25</v>
      </c>
      <c r="B3073" t="s">
        <v>62</v>
      </c>
      <c r="P3073">
        <v>0</v>
      </c>
    </row>
    <row r="3074" spans="1:16" x14ac:dyDescent="0.35">
      <c r="A3074" t="s">
        <v>25</v>
      </c>
      <c r="B3074" t="s">
        <v>63</v>
      </c>
      <c r="P3074">
        <v>0</v>
      </c>
    </row>
    <row r="3075" spans="1:16" x14ac:dyDescent="0.35">
      <c r="A3075" t="s">
        <v>25</v>
      </c>
      <c r="B3075" t="s">
        <v>64</v>
      </c>
      <c r="P3075">
        <v>-12.537320418887573</v>
      </c>
    </row>
    <row r="3076" spans="1:16" x14ac:dyDescent="0.35">
      <c r="A3076" t="s">
        <v>25</v>
      </c>
      <c r="B3076" t="s">
        <v>65</v>
      </c>
      <c r="P3076">
        <v>-12.537320418887573</v>
      </c>
    </row>
    <row r="3077" spans="1:16" x14ac:dyDescent="0.35">
      <c r="A3077" t="s">
        <v>25</v>
      </c>
      <c r="B3077" t="s">
        <v>66</v>
      </c>
      <c r="P3077">
        <v>-12.537320418887573</v>
      </c>
    </row>
    <row r="3078" spans="1:16" x14ac:dyDescent="0.35">
      <c r="A3078" t="s">
        <v>25</v>
      </c>
      <c r="B3078" t="s">
        <v>47</v>
      </c>
      <c r="P3078">
        <v>16.847128870141944</v>
      </c>
    </row>
    <row r="3079" spans="1:16" x14ac:dyDescent="0.35">
      <c r="A3079" t="s">
        <v>26</v>
      </c>
      <c r="B3079" t="s">
        <v>72</v>
      </c>
      <c r="P3079">
        <v>41.941348033957382</v>
      </c>
    </row>
    <row r="3080" spans="1:16" x14ac:dyDescent="0.35">
      <c r="A3080" t="s">
        <v>26</v>
      </c>
      <c r="B3080" t="s">
        <v>61</v>
      </c>
      <c r="P3080">
        <v>25.741132791378664</v>
      </c>
    </row>
    <row r="3081" spans="1:16" x14ac:dyDescent="0.35">
      <c r="A3081" t="s">
        <v>26</v>
      </c>
      <c r="B3081" t="s">
        <v>62</v>
      </c>
      <c r="P3081">
        <v>0</v>
      </c>
    </row>
    <row r="3082" spans="1:16" x14ac:dyDescent="0.35">
      <c r="A3082" t="s">
        <v>26</v>
      </c>
      <c r="B3082" t="s">
        <v>63</v>
      </c>
      <c r="P3082">
        <v>0</v>
      </c>
    </row>
    <row r="3083" spans="1:16" x14ac:dyDescent="0.35">
      <c r="A3083" t="s">
        <v>26</v>
      </c>
      <c r="B3083" t="s">
        <v>64</v>
      </c>
      <c r="P3083">
        <v>-17.39231922661984</v>
      </c>
    </row>
    <row r="3084" spans="1:16" x14ac:dyDescent="0.35">
      <c r="A3084" t="s">
        <v>26</v>
      </c>
      <c r="B3084" t="s">
        <v>65</v>
      </c>
      <c r="P3084">
        <v>-17.39231922661984</v>
      </c>
    </row>
    <row r="3085" spans="1:16" x14ac:dyDescent="0.35">
      <c r="A3085" t="s">
        <v>26</v>
      </c>
      <c r="B3085" t="s">
        <v>66</v>
      </c>
      <c r="P3085">
        <v>-17.39231922661984</v>
      </c>
    </row>
    <row r="3086" spans="1:16" x14ac:dyDescent="0.35">
      <c r="A3086" t="s">
        <v>26</v>
      </c>
      <c r="B3086" t="s">
        <v>47</v>
      </c>
      <c r="P3086">
        <v>15.505523145476523</v>
      </c>
    </row>
    <row r="3087" spans="1:16" x14ac:dyDescent="0.35">
      <c r="A3087" t="s">
        <v>27</v>
      </c>
      <c r="B3087" t="s">
        <v>72</v>
      </c>
      <c r="P3087">
        <v>27.456809181798583</v>
      </c>
    </row>
    <row r="3088" spans="1:16" x14ac:dyDescent="0.35">
      <c r="A3088" t="s">
        <v>27</v>
      </c>
      <c r="B3088" t="s">
        <v>61</v>
      </c>
      <c r="P3088">
        <v>18.778505276250804</v>
      </c>
    </row>
    <row r="3089" spans="1:16" x14ac:dyDescent="0.35">
      <c r="A3089" t="s">
        <v>27</v>
      </c>
      <c r="B3089" t="s">
        <v>62</v>
      </c>
      <c r="P3089">
        <v>0</v>
      </c>
    </row>
    <row r="3090" spans="1:16" x14ac:dyDescent="0.35">
      <c r="A3090" t="s">
        <v>27</v>
      </c>
      <c r="B3090" t="s">
        <v>63</v>
      </c>
      <c r="P3090">
        <v>0</v>
      </c>
    </row>
    <row r="3091" spans="1:16" x14ac:dyDescent="0.35">
      <c r="A3091" t="s">
        <v>27</v>
      </c>
      <c r="B3091" t="s">
        <v>64</v>
      </c>
      <c r="P3091">
        <v>-11.625198222557247</v>
      </c>
    </row>
    <row r="3092" spans="1:16" x14ac:dyDescent="0.35">
      <c r="A3092" t="s">
        <v>27</v>
      </c>
      <c r="B3092" t="s">
        <v>65</v>
      </c>
      <c r="P3092">
        <v>-11.625198222557247</v>
      </c>
    </row>
    <row r="3093" spans="1:16" x14ac:dyDescent="0.35">
      <c r="A3093" t="s">
        <v>27</v>
      </c>
      <c r="B3093" t="s">
        <v>66</v>
      </c>
      <c r="P3093">
        <v>-11.625198222557247</v>
      </c>
    </row>
    <row r="3094" spans="1:16" x14ac:dyDescent="0.35">
      <c r="A3094" t="s">
        <v>27</v>
      </c>
      <c r="B3094" t="s">
        <v>47</v>
      </c>
      <c r="P3094">
        <v>11.359719790377651</v>
      </c>
    </row>
    <row r="3095" spans="1:16" x14ac:dyDescent="0.35">
      <c r="A3095" t="s">
        <v>28</v>
      </c>
      <c r="B3095" t="s">
        <v>72</v>
      </c>
      <c r="P3095">
        <v>22.179817273706053</v>
      </c>
    </row>
    <row r="3096" spans="1:16" x14ac:dyDescent="0.35">
      <c r="A3096" t="s">
        <v>28</v>
      </c>
      <c r="B3096" t="s">
        <v>61</v>
      </c>
      <c r="P3096">
        <v>10.397017710923844</v>
      </c>
    </row>
    <row r="3097" spans="1:16" x14ac:dyDescent="0.35">
      <c r="A3097" t="s">
        <v>28</v>
      </c>
      <c r="B3097" t="s">
        <v>62</v>
      </c>
      <c r="P3097">
        <v>0</v>
      </c>
    </row>
    <row r="3098" spans="1:16" x14ac:dyDescent="0.35">
      <c r="A3098" t="s">
        <v>28</v>
      </c>
      <c r="B3098" t="s">
        <v>63</v>
      </c>
      <c r="P3098">
        <v>0</v>
      </c>
    </row>
    <row r="3099" spans="1:16" x14ac:dyDescent="0.35">
      <c r="A3099" t="s">
        <v>28</v>
      </c>
      <c r="B3099" t="s">
        <v>64</v>
      </c>
      <c r="P3099">
        <v>-8.798175884247506</v>
      </c>
    </row>
    <row r="3100" spans="1:16" x14ac:dyDescent="0.35">
      <c r="A3100" t="s">
        <v>28</v>
      </c>
      <c r="B3100" t="s">
        <v>65</v>
      </c>
      <c r="P3100">
        <v>-8.798175884247506</v>
      </c>
    </row>
    <row r="3101" spans="1:16" x14ac:dyDescent="0.35">
      <c r="A3101" t="s">
        <v>28</v>
      </c>
      <c r="B3101" t="s">
        <v>66</v>
      </c>
      <c r="P3101">
        <v>-8.798175884247506</v>
      </c>
    </row>
    <row r="3102" spans="1:16" x14ac:dyDescent="0.35">
      <c r="A3102" t="s">
        <v>28</v>
      </c>
      <c r="B3102" t="s">
        <v>47</v>
      </c>
      <c r="P3102">
        <v>6.1823073318873796</v>
      </c>
    </row>
    <row r="3103" spans="1:16" x14ac:dyDescent="0.35">
      <c r="A3103" t="s">
        <v>29</v>
      </c>
      <c r="B3103" t="s">
        <v>72</v>
      </c>
      <c r="P3103">
        <v>36.705552044142443</v>
      </c>
    </row>
    <row r="3104" spans="1:16" x14ac:dyDescent="0.35">
      <c r="A3104" t="s">
        <v>29</v>
      </c>
      <c r="B3104" t="s">
        <v>61</v>
      </c>
      <c r="P3104">
        <v>22.163543531743493</v>
      </c>
    </row>
    <row r="3105" spans="1:19" x14ac:dyDescent="0.35">
      <c r="A3105" t="s">
        <v>29</v>
      </c>
      <c r="B3105" t="s">
        <v>62</v>
      </c>
      <c r="P3105">
        <v>0</v>
      </c>
    </row>
    <row r="3106" spans="1:19" x14ac:dyDescent="0.35">
      <c r="A3106" t="s">
        <v>29</v>
      </c>
      <c r="B3106" t="s">
        <v>63</v>
      </c>
      <c r="P3106">
        <v>0</v>
      </c>
    </row>
    <row r="3107" spans="1:19" x14ac:dyDescent="0.35">
      <c r="A3107" t="s">
        <v>29</v>
      </c>
      <c r="B3107" t="s">
        <v>64</v>
      </c>
      <c r="P3107">
        <v>-15.204301777030311</v>
      </c>
    </row>
    <row r="3108" spans="1:19" x14ac:dyDescent="0.35">
      <c r="A3108" t="s">
        <v>29</v>
      </c>
      <c r="B3108" t="s">
        <v>65</v>
      </c>
      <c r="P3108">
        <v>-15.204301777030311</v>
      </c>
    </row>
    <row r="3109" spans="1:19" x14ac:dyDescent="0.35">
      <c r="A3109" t="s">
        <v>29</v>
      </c>
      <c r="B3109" t="s">
        <v>66</v>
      </c>
      <c r="P3109">
        <v>-15.204301777030311</v>
      </c>
    </row>
    <row r="3110" spans="1:19" x14ac:dyDescent="0.35">
      <c r="A3110" t="s">
        <v>29</v>
      </c>
      <c r="B3110" t="s">
        <v>47</v>
      </c>
      <c r="P3110">
        <v>13.256190244795006</v>
      </c>
    </row>
    <row r="3111" spans="1:19" x14ac:dyDescent="0.35">
      <c r="A3111" t="s">
        <v>2</v>
      </c>
      <c r="B3111" t="s">
        <v>72</v>
      </c>
      <c r="S3111">
        <v>286.25792740863062</v>
      </c>
    </row>
    <row r="3112" spans="1:19" x14ac:dyDescent="0.35">
      <c r="A3112" t="s">
        <v>2</v>
      </c>
      <c r="B3112" t="s">
        <v>61</v>
      </c>
      <c r="S3112">
        <v>293.56840615833681</v>
      </c>
    </row>
    <row r="3113" spans="1:19" x14ac:dyDescent="0.35">
      <c r="A3113" t="s">
        <v>2</v>
      </c>
      <c r="B3113" t="s">
        <v>62</v>
      </c>
      <c r="S3113">
        <v>613.57064022192276</v>
      </c>
    </row>
    <row r="3114" spans="1:19" x14ac:dyDescent="0.35">
      <c r="A3114" t="s">
        <v>2</v>
      </c>
      <c r="B3114" t="s">
        <v>63</v>
      </c>
      <c r="S3114">
        <v>827.33187662445823</v>
      </c>
    </row>
    <row r="3115" spans="1:19" x14ac:dyDescent="0.35">
      <c r="A3115" t="s">
        <v>2</v>
      </c>
      <c r="B3115" t="s">
        <v>64</v>
      </c>
      <c r="S3115">
        <v>696.66466476300354</v>
      </c>
    </row>
    <row r="3116" spans="1:19" x14ac:dyDescent="0.35">
      <c r="A3116" t="s">
        <v>2</v>
      </c>
      <c r="B3116" t="s">
        <v>65</v>
      </c>
      <c r="S3116">
        <v>779.05776704785626</v>
      </c>
    </row>
    <row r="3117" spans="1:19" x14ac:dyDescent="0.35">
      <c r="A3117" t="s">
        <v>2</v>
      </c>
      <c r="B3117" t="s">
        <v>66</v>
      </c>
      <c r="S3117">
        <v>533.79499097492806</v>
      </c>
    </row>
    <row r="3118" spans="1:19" x14ac:dyDescent="0.35">
      <c r="A3118" t="s">
        <v>3</v>
      </c>
      <c r="B3118" t="s">
        <v>72</v>
      </c>
      <c r="S3118">
        <v>296.34980839891529</v>
      </c>
    </row>
    <row r="3119" spans="1:19" x14ac:dyDescent="0.35">
      <c r="A3119" t="s">
        <v>3</v>
      </c>
      <c r="B3119" t="s">
        <v>61</v>
      </c>
      <c r="S3119">
        <v>311.83476128729768</v>
      </c>
    </row>
    <row r="3120" spans="1:19" x14ac:dyDescent="0.35">
      <c r="A3120" t="s">
        <v>3</v>
      </c>
      <c r="B3120" t="s">
        <v>62</v>
      </c>
      <c r="S3120">
        <v>631.48415305274636</v>
      </c>
    </row>
    <row r="3121" spans="1:19" x14ac:dyDescent="0.35">
      <c r="A3121" t="s">
        <v>3</v>
      </c>
      <c r="B3121" t="s">
        <v>63</v>
      </c>
      <c r="S3121">
        <v>858.93197884910353</v>
      </c>
    </row>
    <row r="3122" spans="1:19" x14ac:dyDescent="0.35">
      <c r="A3122" t="s">
        <v>3</v>
      </c>
      <c r="B3122" t="s">
        <v>64</v>
      </c>
      <c r="S3122">
        <v>720.52039780238727</v>
      </c>
    </row>
    <row r="3123" spans="1:19" x14ac:dyDescent="0.35">
      <c r="A3123" t="s">
        <v>3</v>
      </c>
      <c r="B3123" t="s">
        <v>65</v>
      </c>
      <c r="S3123">
        <v>808.61911757571954</v>
      </c>
    </row>
    <row r="3124" spans="1:19" x14ac:dyDescent="0.35">
      <c r="A3124" t="s">
        <v>3</v>
      </c>
      <c r="B3124" t="s">
        <v>66</v>
      </c>
      <c r="S3124">
        <v>548.86761000400077</v>
      </c>
    </row>
    <row r="3125" spans="1:19" x14ac:dyDescent="0.35">
      <c r="A3125" t="s">
        <v>4</v>
      </c>
      <c r="B3125" t="s">
        <v>72</v>
      </c>
      <c r="S3125">
        <v>57.208624120990599</v>
      </c>
    </row>
    <row r="3126" spans="1:19" x14ac:dyDescent="0.35">
      <c r="A3126" t="s">
        <v>4</v>
      </c>
      <c r="B3126" t="s">
        <v>61</v>
      </c>
      <c r="S3126">
        <v>83.793127072963046</v>
      </c>
    </row>
    <row r="3127" spans="1:19" x14ac:dyDescent="0.35">
      <c r="A3127" t="s">
        <v>4</v>
      </c>
      <c r="B3127" t="s">
        <v>62</v>
      </c>
      <c r="S3127">
        <v>110.82432899110152</v>
      </c>
    </row>
    <row r="3128" spans="1:19" x14ac:dyDescent="0.35">
      <c r="A3128" t="s">
        <v>4</v>
      </c>
      <c r="B3128" t="s">
        <v>63</v>
      </c>
      <c r="S3128">
        <v>173.06301740623312</v>
      </c>
    </row>
    <row r="3129" spans="1:19" x14ac:dyDescent="0.35">
      <c r="A3129" t="s">
        <v>4</v>
      </c>
      <c r="B3129" t="s">
        <v>64</v>
      </c>
      <c r="S3129">
        <v>136.9916147914673</v>
      </c>
    </row>
    <row r="3130" spans="1:19" x14ac:dyDescent="0.35">
      <c r="A3130" t="s">
        <v>4</v>
      </c>
      <c r="B3130" t="s">
        <v>65</v>
      </c>
      <c r="S3130">
        <v>162.34638970914702</v>
      </c>
    </row>
    <row r="3131" spans="1:19" x14ac:dyDescent="0.35">
      <c r="A3131" t="s">
        <v>4</v>
      </c>
      <c r="B3131" t="s">
        <v>66</v>
      </c>
      <c r="S3131">
        <v>94.790909224228415</v>
      </c>
    </row>
    <row r="3132" spans="1:19" x14ac:dyDescent="0.35">
      <c r="A3132" t="s">
        <v>5</v>
      </c>
      <c r="B3132" t="s">
        <v>72</v>
      </c>
      <c r="S3132">
        <v>119.01184004364676</v>
      </c>
    </row>
    <row r="3133" spans="1:19" x14ac:dyDescent="0.35">
      <c r="A3133" t="s">
        <v>5</v>
      </c>
      <c r="B3133" t="s">
        <v>61</v>
      </c>
      <c r="S3133">
        <v>151.36973008855969</v>
      </c>
    </row>
    <row r="3134" spans="1:19" x14ac:dyDescent="0.35">
      <c r="A3134" t="s">
        <v>5</v>
      </c>
      <c r="B3134" t="s">
        <v>62</v>
      </c>
      <c r="S3134">
        <v>241.32455863123019</v>
      </c>
    </row>
    <row r="3135" spans="1:19" x14ac:dyDescent="0.35">
      <c r="A3135" t="s">
        <v>5</v>
      </c>
      <c r="B3135" t="s">
        <v>63</v>
      </c>
      <c r="S3135">
        <v>352.97354203910061</v>
      </c>
    </row>
    <row r="3136" spans="1:19" x14ac:dyDescent="0.35">
      <c r="A3136" t="s">
        <v>5</v>
      </c>
      <c r="B3136" t="s">
        <v>64</v>
      </c>
      <c r="S3136">
        <v>287.02834243934205</v>
      </c>
    </row>
    <row r="3137" spans="1:19" x14ac:dyDescent="0.35">
      <c r="A3137" t="s">
        <v>5</v>
      </c>
      <c r="B3137" t="s">
        <v>65</v>
      </c>
      <c r="S3137">
        <v>331.65600520918679</v>
      </c>
    </row>
    <row r="3138" spans="1:19" x14ac:dyDescent="0.35">
      <c r="A3138" t="s">
        <v>5</v>
      </c>
      <c r="B3138" t="s">
        <v>66</v>
      </c>
      <c r="S3138">
        <v>208.05246834166036</v>
      </c>
    </row>
    <row r="3139" spans="1:19" x14ac:dyDescent="0.35">
      <c r="A3139" t="s">
        <v>6</v>
      </c>
      <c r="B3139" t="s">
        <v>72</v>
      </c>
      <c r="S3139">
        <v>195.62614129434613</v>
      </c>
    </row>
    <row r="3140" spans="1:19" x14ac:dyDescent="0.35">
      <c r="A3140" t="s">
        <v>6</v>
      </c>
      <c r="B3140" t="s">
        <v>61</v>
      </c>
      <c r="S3140">
        <v>212.15622811862715</v>
      </c>
    </row>
    <row r="3141" spans="1:19" x14ac:dyDescent="0.35">
      <c r="A3141" t="s">
        <v>6</v>
      </c>
      <c r="B3141" t="s">
        <v>62</v>
      </c>
      <c r="S3141">
        <v>413.89244413156217</v>
      </c>
    </row>
    <row r="3142" spans="1:19" x14ac:dyDescent="0.35">
      <c r="A3142" t="s">
        <v>6</v>
      </c>
      <c r="B3142" t="s">
        <v>63</v>
      </c>
      <c r="S3142">
        <v>568.93591631928871</v>
      </c>
    </row>
    <row r="3143" spans="1:19" x14ac:dyDescent="0.35">
      <c r="A3143" t="s">
        <v>6</v>
      </c>
      <c r="B3143" t="s">
        <v>64</v>
      </c>
      <c r="S3143">
        <v>475.06758836927162</v>
      </c>
    </row>
    <row r="3144" spans="1:19" x14ac:dyDescent="0.35">
      <c r="A3144" t="s">
        <v>6</v>
      </c>
      <c r="B3144" t="s">
        <v>65</v>
      </c>
      <c r="S3144">
        <v>535.45501598499698</v>
      </c>
    </row>
    <row r="3145" spans="1:19" x14ac:dyDescent="0.35">
      <c r="A3145" t="s">
        <v>6</v>
      </c>
      <c r="B3145" t="s">
        <v>66</v>
      </c>
      <c r="S3145">
        <v>359.33303003426448</v>
      </c>
    </row>
    <row r="3146" spans="1:19" x14ac:dyDescent="0.35">
      <c r="A3146" t="s">
        <v>7</v>
      </c>
      <c r="B3146" t="s">
        <v>72</v>
      </c>
      <c r="S3146">
        <v>321.26225537569445</v>
      </c>
    </row>
    <row r="3147" spans="1:19" x14ac:dyDescent="0.35">
      <c r="A3147" t="s">
        <v>7</v>
      </c>
      <c r="B3147" t="s">
        <v>61</v>
      </c>
      <c r="S3147">
        <v>345.74341233062285</v>
      </c>
    </row>
    <row r="3148" spans="1:19" x14ac:dyDescent="0.35">
      <c r="A3148" t="s">
        <v>7</v>
      </c>
      <c r="B3148" t="s">
        <v>62</v>
      </c>
      <c r="S3148">
        <v>680.9562055010997</v>
      </c>
    </row>
    <row r="3149" spans="1:19" x14ac:dyDescent="0.35">
      <c r="A3149" t="s">
        <v>7</v>
      </c>
      <c r="B3149" t="s">
        <v>63</v>
      </c>
      <c r="S3149">
        <v>933.50213674075781</v>
      </c>
    </row>
    <row r="3150" spans="1:19" x14ac:dyDescent="0.35">
      <c r="A3150" t="s">
        <v>7</v>
      </c>
      <c r="B3150" t="s">
        <v>64</v>
      </c>
      <c r="S3150">
        <v>780.40541533643511</v>
      </c>
    </row>
    <row r="3151" spans="1:19" x14ac:dyDescent="0.35">
      <c r="A3151" t="s">
        <v>7</v>
      </c>
      <c r="B3151" t="s">
        <v>65</v>
      </c>
      <c r="S3151">
        <v>878.63234493279924</v>
      </c>
    </row>
    <row r="3152" spans="1:19" x14ac:dyDescent="0.35">
      <c r="A3152" t="s">
        <v>7</v>
      </c>
      <c r="B3152" t="s">
        <v>66</v>
      </c>
      <c r="S3152">
        <v>591.36691407542241</v>
      </c>
    </row>
    <row r="3153" spans="1:19" x14ac:dyDescent="0.35">
      <c r="A3153" t="s">
        <v>8</v>
      </c>
      <c r="B3153" t="s">
        <v>72</v>
      </c>
      <c r="S3153">
        <v>192.61518768439211</v>
      </c>
    </row>
    <row r="3154" spans="1:19" x14ac:dyDescent="0.35">
      <c r="A3154" t="s">
        <v>8</v>
      </c>
      <c r="B3154" t="s">
        <v>61</v>
      </c>
      <c r="S3154">
        <v>198.84730686480566</v>
      </c>
    </row>
    <row r="3155" spans="1:19" x14ac:dyDescent="0.35">
      <c r="A3155" t="s">
        <v>8</v>
      </c>
      <c r="B3155" t="s">
        <v>62</v>
      </c>
      <c r="S3155">
        <v>412.23841052553246</v>
      </c>
    </row>
    <row r="3156" spans="1:19" x14ac:dyDescent="0.35">
      <c r="A3156" t="s">
        <v>8</v>
      </c>
      <c r="B3156" t="s">
        <v>63</v>
      </c>
      <c r="S3156">
        <v>557.09269147964505</v>
      </c>
    </row>
    <row r="3157" spans="1:19" x14ac:dyDescent="0.35">
      <c r="A3157" t="s">
        <v>8</v>
      </c>
      <c r="B3157" t="s">
        <v>64</v>
      </c>
      <c r="S3157">
        <v>468.64983313608093</v>
      </c>
    </row>
    <row r="3158" spans="1:19" x14ac:dyDescent="0.35">
      <c r="A3158" t="s">
        <v>8</v>
      </c>
      <c r="B3158" t="s">
        <v>65</v>
      </c>
      <c r="S3158">
        <v>524.55447910806959</v>
      </c>
    </row>
    <row r="3159" spans="1:19" x14ac:dyDescent="0.35">
      <c r="A3159" t="s">
        <v>8</v>
      </c>
      <c r="B3159" t="s">
        <v>66</v>
      </c>
      <c r="S3159">
        <v>358.55482435757614</v>
      </c>
    </row>
    <row r="3160" spans="1:19" x14ac:dyDescent="0.35">
      <c r="A3160" t="s">
        <v>9</v>
      </c>
      <c r="B3160" t="s">
        <v>72</v>
      </c>
      <c r="S3160">
        <v>126.45219160739404</v>
      </c>
    </row>
    <row r="3161" spans="1:19" x14ac:dyDescent="0.35">
      <c r="A3161" t="s">
        <v>9</v>
      </c>
      <c r="B3161" t="s">
        <v>61</v>
      </c>
      <c r="S3161">
        <v>138.08908976725942</v>
      </c>
    </row>
    <row r="3162" spans="1:19" x14ac:dyDescent="0.35">
      <c r="A3162" t="s">
        <v>9</v>
      </c>
      <c r="B3162" t="s">
        <v>62</v>
      </c>
      <c r="S3162">
        <v>267.09192069857477</v>
      </c>
    </row>
    <row r="3163" spans="1:19" x14ac:dyDescent="0.35">
      <c r="A3163" t="s">
        <v>9</v>
      </c>
      <c r="B3163" t="s">
        <v>63</v>
      </c>
      <c r="S3163">
        <v>368.05111915135365</v>
      </c>
    </row>
    <row r="3164" spans="1:19" x14ac:dyDescent="0.35">
      <c r="A3164" t="s">
        <v>9</v>
      </c>
      <c r="B3164" t="s">
        <v>64</v>
      </c>
      <c r="S3164">
        <v>306.99761489840802</v>
      </c>
    </row>
    <row r="3165" spans="1:19" x14ac:dyDescent="0.35">
      <c r="A3165" t="s">
        <v>9</v>
      </c>
      <c r="B3165" t="s">
        <v>65</v>
      </c>
      <c r="S3165">
        <v>346.36865373242102</v>
      </c>
    </row>
    <row r="3166" spans="1:19" x14ac:dyDescent="0.35">
      <c r="A3166" t="s">
        <v>9</v>
      </c>
      <c r="B3166" t="s">
        <v>66</v>
      </c>
      <c r="S3166">
        <v>231.82144780913126</v>
      </c>
    </row>
    <row r="3167" spans="1:19" x14ac:dyDescent="0.35">
      <c r="A3167" t="s">
        <v>10</v>
      </c>
      <c r="B3167" t="s">
        <v>72</v>
      </c>
      <c r="S3167">
        <v>223.14160981079817</v>
      </c>
    </row>
    <row r="3168" spans="1:19" x14ac:dyDescent="0.35">
      <c r="A3168" t="s">
        <v>10</v>
      </c>
      <c r="B3168" t="s">
        <v>61</v>
      </c>
      <c r="S3168">
        <v>236.5411395340445</v>
      </c>
    </row>
    <row r="3169" spans="1:19" x14ac:dyDescent="0.35">
      <c r="A3169" t="s">
        <v>10</v>
      </c>
      <c r="B3169" t="s">
        <v>62</v>
      </c>
      <c r="S3169">
        <v>474.66966905484566</v>
      </c>
    </row>
    <row r="3170" spans="1:19" x14ac:dyDescent="0.35">
      <c r="A3170" t="s">
        <v>10</v>
      </c>
      <c r="B3170" t="s">
        <v>63</v>
      </c>
      <c r="S3170">
        <v>647.28207510523487</v>
      </c>
    </row>
    <row r="3171" spans="1:19" x14ac:dyDescent="0.35">
      <c r="A3171" t="s">
        <v>10</v>
      </c>
      <c r="B3171" t="s">
        <v>64</v>
      </c>
      <c r="S3171">
        <v>542.37314053709395</v>
      </c>
    </row>
    <row r="3172" spans="1:19" x14ac:dyDescent="0.35">
      <c r="A3172" t="s">
        <v>10</v>
      </c>
      <c r="B3172" t="s">
        <v>65</v>
      </c>
      <c r="S3172">
        <v>609.3241189552657</v>
      </c>
    </row>
    <row r="3173" spans="1:19" x14ac:dyDescent="0.35">
      <c r="A3173" t="s">
        <v>10</v>
      </c>
      <c r="B3173" t="s">
        <v>66</v>
      </c>
      <c r="S3173">
        <v>412.45589211552476</v>
      </c>
    </row>
    <row r="3174" spans="1:19" x14ac:dyDescent="0.35">
      <c r="A3174" t="s">
        <v>11</v>
      </c>
      <c r="B3174" t="s">
        <v>72</v>
      </c>
      <c r="S3174">
        <v>188.75517978758282</v>
      </c>
    </row>
    <row r="3175" spans="1:19" x14ac:dyDescent="0.35">
      <c r="A3175" t="s">
        <v>11</v>
      </c>
      <c r="B3175" t="s">
        <v>61</v>
      </c>
      <c r="S3175">
        <v>199.44523161950602</v>
      </c>
    </row>
    <row r="3176" spans="1:19" x14ac:dyDescent="0.35">
      <c r="A3176" t="s">
        <v>11</v>
      </c>
      <c r="B3176" t="s">
        <v>62</v>
      </c>
      <c r="S3176">
        <v>401.82511106163872</v>
      </c>
    </row>
    <row r="3177" spans="1:19" x14ac:dyDescent="0.35">
      <c r="A3177" t="s">
        <v>11</v>
      </c>
      <c r="B3177" t="s">
        <v>63</v>
      </c>
      <c r="S3177">
        <v>547.33692185937127</v>
      </c>
    </row>
    <row r="3178" spans="1:19" x14ac:dyDescent="0.35">
      <c r="A3178" t="s">
        <v>11</v>
      </c>
      <c r="B3178" t="s">
        <v>64</v>
      </c>
      <c r="S3178">
        <v>458.8500795346423</v>
      </c>
    </row>
    <row r="3179" spans="1:19" x14ac:dyDescent="0.35">
      <c r="A3179" t="s">
        <v>11</v>
      </c>
      <c r="B3179" t="s">
        <v>65</v>
      </c>
      <c r="S3179">
        <v>515.25576769106226</v>
      </c>
    </row>
    <row r="3180" spans="1:19" x14ac:dyDescent="0.35">
      <c r="A3180" t="s">
        <v>11</v>
      </c>
      <c r="B3180" t="s">
        <v>66</v>
      </c>
      <c r="S3180">
        <v>349.20087886845738</v>
      </c>
    </row>
    <row r="3181" spans="1:19" x14ac:dyDescent="0.35">
      <c r="A3181" t="s">
        <v>12</v>
      </c>
      <c r="B3181" t="s">
        <v>72</v>
      </c>
      <c r="S3181">
        <v>231.66711759066766</v>
      </c>
    </row>
    <row r="3182" spans="1:19" x14ac:dyDescent="0.35">
      <c r="A3182" t="s">
        <v>12</v>
      </c>
      <c r="B3182" t="s">
        <v>61</v>
      </c>
      <c r="S3182">
        <v>237.79566323639114</v>
      </c>
    </row>
    <row r="3183" spans="1:19" x14ac:dyDescent="0.35">
      <c r="A3183" t="s">
        <v>12</v>
      </c>
      <c r="B3183" t="s">
        <v>62</v>
      </c>
      <c r="S3183">
        <v>496.46001676687354</v>
      </c>
    </row>
    <row r="3184" spans="1:19" x14ac:dyDescent="0.35">
      <c r="A3184" t="s">
        <v>12</v>
      </c>
      <c r="B3184" t="s">
        <v>63</v>
      </c>
      <c r="S3184">
        <v>669.62079047382088</v>
      </c>
    </row>
    <row r="3185" spans="1:19" x14ac:dyDescent="0.35">
      <c r="A3185" t="s">
        <v>12</v>
      </c>
      <c r="B3185" t="s">
        <v>64</v>
      </c>
      <c r="S3185">
        <v>563.78835655255489</v>
      </c>
    </row>
    <row r="3186" spans="1:19" x14ac:dyDescent="0.35">
      <c r="A3186" t="s">
        <v>12</v>
      </c>
      <c r="B3186" t="s">
        <v>65</v>
      </c>
      <c r="S3186">
        <v>630.54376359026651</v>
      </c>
    </row>
    <row r="3187" spans="1:19" x14ac:dyDescent="0.35">
      <c r="A3187" t="s">
        <v>12</v>
      </c>
      <c r="B3187" t="s">
        <v>66</v>
      </c>
      <c r="S3187">
        <v>431.89721799242301</v>
      </c>
    </row>
    <row r="3188" spans="1:19" x14ac:dyDescent="0.35">
      <c r="A3188" t="s">
        <v>13</v>
      </c>
      <c r="B3188" t="s">
        <v>72</v>
      </c>
      <c r="S3188">
        <v>79.411843249187839</v>
      </c>
    </row>
    <row r="3189" spans="1:19" x14ac:dyDescent="0.35">
      <c r="A3189" t="s">
        <v>13</v>
      </c>
      <c r="B3189" t="s">
        <v>61</v>
      </c>
      <c r="S3189">
        <v>106.56981678171168</v>
      </c>
    </row>
    <row r="3190" spans="1:19" x14ac:dyDescent="0.35">
      <c r="A3190" t="s">
        <v>13</v>
      </c>
      <c r="B3190" t="s">
        <v>62</v>
      </c>
      <c r="S3190">
        <v>158.41210208207053</v>
      </c>
    </row>
    <row r="3191" spans="1:19" x14ac:dyDescent="0.35">
      <c r="A3191" t="s">
        <v>13</v>
      </c>
      <c r="B3191" t="s">
        <v>63</v>
      </c>
      <c r="S3191">
        <v>237.2359047944924</v>
      </c>
    </row>
    <row r="3192" spans="1:19" x14ac:dyDescent="0.35">
      <c r="A3192" t="s">
        <v>13</v>
      </c>
      <c r="B3192" t="s">
        <v>64</v>
      </c>
      <c r="S3192">
        <v>191.0269183650698</v>
      </c>
    </row>
    <row r="3193" spans="1:19" x14ac:dyDescent="0.35">
      <c r="A3193" t="s">
        <v>13</v>
      </c>
      <c r="B3193" t="s">
        <v>65</v>
      </c>
      <c r="S3193">
        <v>222.77468520857863</v>
      </c>
    </row>
    <row r="3194" spans="1:19" x14ac:dyDescent="0.35">
      <c r="A3194" t="s">
        <v>13</v>
      </c>
      <c r="B3194" t="s">
        <v>66</v>
      </c>
      <c r="S3194">
        <v>136.19096600070347</v>
      </c>
    </row>
    <row r="3195" spans="1:19" x14ac:dyDescent="0.35">
      <c r="A3195" t="s">
        <v>14</v>
      </c>
      <c r="B3195" t="s">
        <v>72</v>
      </c>
      <c r="S3195">
        <v>143.21130748611156</v>
      </c>
    </row>
    <row r="3196" spans="1:19" x14ac:dyDescent="0.35">
      <c r="A3196" t="s">
        <v>14</v>
      </c>
      <c r="B3196" t="s">
        <v>61</v>
      </c>
      <c r="S3196">
        <v>173.74843899317392</v>
      </c>
    </row>
    <row r="3197" spans="1:19" x14ac:dyDescent="0.35">
      <c r="A3197" t="s">
        <v>14</v>
      </c>
      <c r="B3197" t="s">
        <v>62</v>
      </c>
      <c r="S3197">
        <v>294.33937085323635</v>
      </c>
    </row>
    <row r="3198" spans="1:19" x14ac:dyDescent="0.35">
      <c r="A3198" t="s">
        <v>14</v>
      </c>
      <c r="B3198" t="s">
        <v>63</v>
      </c>
      <c r="S3198">
        <v>422.16446371986456</v>
      </c>
    </row>
    <row r="3199" spans="1:19" x14ac:dyDescent="0.35">
      <c r="A3199" t="s">
        <v>14</v>
      </c>
      <c r="B3199" t="s">
        <v>64</v>
      </c>
      <c r="S3199">
        <v>346.13960551773749</v>
      </c>
    </row>
    <row r="3200" spans="1:19" x14ac:dyDescent="0.35">
      <c r="A3200" t="s">
        <v>14</v>
      </c>
      <c r="B3200" t="s">
        <v>65</v>
      </c>
      <c r="S3200">
        <v>396.86973876758304</v>
      </c>
    </row>
    <row r="3201" spans="1:19" x14ac:dyDescent="0.35">
      <c r="A3201" t="s">
        <v>14</v>
      </c>
      <c r="B3201" t="s">
        <v>66</v>
      </c>
      <c r="S3201">
        <v>254.33202581007043</v>
      </c>
    </row>
    <row r="3202" spans="1:19" x14ac:dyDescent="0.35">
      <c r="A3202" t="s">
        <v>15</v>
      </c>
      <c r="B3202" t="s">
        <v>72</v>
      </c>
      <c r="S3202">
        <v>253.45917588414778</v>
      </c>
    </row>
    <row r="3203" spans="1:19" x14ac:dyDescent="0.35">
      <c r="A3203" t="s">
        <v>15</v>
      </c>
      <c r="B3203" t="s">
        <v>61</v>
      </c>
      <c r="S3203">
        <v>266.69815546118883</v>
      </c>
    </row>
    <row r="3204" spans="1:19" x14ac:dyDescent="0.35">
      <c r="A3204" t="s">
        <v>15</v>
      </c>
      <c r="B3204" t="s">
        <v>62</v>
      </c>
      <c r="S3204">
        <v>540.09188475512508</v>
      </c>
    </row>
    <row r="3205" spans="1:19" x14ac:dyDescent="0.35">
      <c r="A3205" t="s">
        <v>15</v>
      </c>
      <c r="B3205" t="s">
        <v>63</v>
      </c>
      <c r="S3205">
        <v>734.61748426270378</v>
      </c>
    </row>
    <row r="3206" spans="1:19" x14ac:dyDescent="0.35">
      <c r="A3206" t="s">
        <v>15</v>
      </c>
      <c r="B3206" t="s">
        <v>64</v>
      </c>
      <c r="S3206">
        <v>616.24009450643905</v>
      </c>
    </row>
    <row r="3207" spans="1:19" x14ac:dyDescent="0.35">
      <c r="A3207" t="s">
        <v>15</v>
      </c>
      <c r="B3207" t="s">
        <v>65</v>
      </c>
      <c r="S3207">
        <v>691.58659657631233</v>
      </c>
    </row>
    <row r="3208" spans="1:19" x14ac:dyDescent="0.35">
      <c r="A3208" t="s">
        <v>15</v>
      </c>
      <c r="B3208" t="s">
        <v>66</v>
      </c>
      <c r="S3208">
        <v>469.43243039122768</v>
      </c>
    </row>
    <row r="3209" spans="1:19" x14ac:dyDescent="0.35">
      <c r="A3209" t="s">
        <v>16</v>
      </c>
      <c r="B3209" t="s">
        <v>72</v>
      </c>
      <c r="S3209">
        <v>164.10137776111569</v>
      </c>
    </row>
    <row r="3210" spans="1:19" x14ac:dyDescent="0.35">
      <c r="A3210" t="s">
        <v>16</v>
      </c>
      <c r="B3210" t="s">
        <v>61</v>
      </c>
      <c r="S3210">
        <v>174.81835008554867</v>
      </c>
    </row>
    <row r="3211" spans="1:19" x14ac:dyDescent="0.35">
      <c r="A3211" t="s">
        <v>16</v>
      </c>
      <c r="B3211" t="s">
        <v>62</v>
      </c>
      <c r="S3211">
        <v>348.67338711869866</v>
      </c>
    </row>
    <row r="3212" spans="1:19" x14ac:dyDescent="0.35">
      <c r="A3212" t="s">
        <v>16</v>
      </c>
      <c r="B3212" t="s">
        <v>63</v>
      </c>
      <c r="S3212">
        <v>476.28519345344057</v>
      </c>
    </row>
    <row r="3213" spans="1:19" x14ac:dyDescent="0.35">
      <c r="A3213" t="s">
        <v>16</v>
      </c>
      <c r="B3213" t="s">
        <v>64</v>
      </c>
      <c r="S3213">
        <v>398.79177802409123</v>
      </c>
    </row>
    <row r="3214" spans="1:19" x14ac:dyDescent="0.35">
      <c r="A3214" t="s">
        <v>16</v>
      </c>
      <c r="B3214" t="s">
        <v>65</v>
      </c>
      <c r="S3214">
        <v>448.33368305739737</v>
      </c>
    </row>
    <row r="3215" spans="1:19" x14ac:dyDescent="0.35">
      <c r="A3215" t="s">
        <v>16</v>
      </c>
      <c r="B3215" t="s">
        <v>66</v>
      </c>
      <c r="S3215">
        <v>302.91742882202453</v>
      </c>
    </row>
    <row r="3216" spans="1:19" x14ac:dyDescent="0.35">
      <c r="A3216" t="s">
        <v>17</v>
      </c>
      <c r="B3216" t="s">
        <v>72</v>
      </c>
      <c r="S3216">
        <v>100.32928576797659</v>
      </c>
    </row>
    <row r="3217" spans="1:19" x14ac:dyDescent="0.35">
      <c r="A3217" t="s">
        <v>17</v>
      </c>
      <c r="B3217" t="s">
        <v>61</v>
      </c>
      <c r="S3217">
        <v>120.04476659035612</v>
      </c>
    </row>
    <row r="3218" spans="1:19" x14ac:dyDescent="0.35">
      <c r="A3218" t="s">
        <v>17</v>
      </c>
      <c r="B3218" t="s">
        <v>62</v>
      </c>
      <c r="S3218">
        <v>206.99270393320768</v>
      </c>
    </row>
    <row r="3219" spans="1:19" x14ac:dyDescent="0.35">
      <c r="A3219" t="s">
        <v>17</v>
      </c>
      <c r="B3219" t="s">
        <v>63</v>
      </c>
      <c r="S3219">
        <v>295.23936149199335</v>
      </c>
    </row>
    <row r="3220" spans="1:19" x14ac:dyDescent="0.35">
      <c r="A3220" t="s">
        <v>17</v>
      </c>
      <c r="B3220" t="s">
        <v>64</v>
      </c>
      <c r="S3220">
        <v>242.64377645390798</v>
      </c>
    </row>
    <row r="3221" spans="1:19" x14ac:dyDescent="0.35">
      <c r="A3221" t="s">
        <v>17</v>
      </c>
      <c r="B3221" t="s">
        <v>65</v>
      </c>
      <c r="S3221">
        <v>277.59007801332928</v>
      </c>
    </row>
    <row r="3222" spans="1:19" x14ac:dyDescent="0.35">
      <c r="A3222" t="s">
        <v>17</v>
      </c>
      <c r="B3222" t="s">
        <v>66</v>
      </c>
      <c r="S3222">
        <v>178.97085897273368</v>
      </c>
    </row>
    <row r="3223" spans="1:19" x14ac:dyDescent="0.35">
      <c r="A3223" t="s">
        <v>18</v>
      </c>
      <c r="B3223" t="s">
        <v>72</v>
      </c>
      <c r="S3223">
        <v>117.99907832421054</v>
      </c>
    </row>
    <row r="3224" spans="1:19" x14ac:dyDescent="0.35">
      <c r="A3224" t="s">
        <v>18</v>
      </c>
      <c r="B3224" t="s">
        <v>61</v>
      </c>
      <c r="S3224">
        <v>137.36005067293942</v>
      </c>
    </row>
    <row r="3225" spans="1:19" x14ac:dyDescent="0.35">
      <c r="A3225" t="s">
        <v>18</v>
      </c>
      <c r="B3225" t="s">
        <v>62</v>
      </c>
      <c r="S3225">
        <v>245.24484688309448</v>
      </c>
    </row>
    <row r="3226" spans="1:19" x14ac:dyDescent="0.35">
      <c r="A3226" t="s">
        <v>18</v>
      </c>
      <c r="B3226" t="s">
        <v>63</v>
      </c>
      <c r="S3226">
        <v>346.06030844651991</v>
      </c>
    </row>
    <row r="3227" spans="1:19" x14ac:dyDescent="0.35">
      <c r="A3227" t="s">
        <v>18</v>
      </c>
      <c r="B3227" t="s">
        <v>64</v>
      </c>
      <c r="S3227">
        <v>285.7184107223577</v>
      </c>
    </row>
    <row r="3228" spans="1:19" x14ac:dyDescent="0.35">
      <c r="A3228" t="s">
        <v>18</v>
      </c>
      <c r="B3228" t="s">
        <v>65</v>
      </c>
      <c r="S3228">
        <v>325.46550412500682</v>
      </c>
    </row>
    <row r="3229" spans="1:19" x14ac:dyDescent="0.35">
      <c r="A3229" t="s">
        <v>18</v>
      </c>
      <c r="B3229" t="s">
        <v>66</v>
      </c>
      <c r="S3229">
        <v>212.30159940500664</v>
      </c>
    </row>
    <row r="3230" spans="1:19" x14ac:dyDescent="0.35">
      <c r="A3230" t="s">
        <v>19</v>
      </c>
      <c r="B3230" t="s">
        <v>72</v>
      </c>
      <c r="S3230">
        <v>693.68539420384764</v>
      </c>
    </row>
    <row r="3231" spans="1:19" x14ac:dyDescent="0.35">
      <c r="A3231" t="s">
        <v>19</v>
      </c>
      <c r="B3231" t="s">
        <v>61</v>
      </c>
      <c r="S3231">
        <v>703.11130887104207</v>
      </c>
    </row>
    <row r="3232" spans="1:19" x14ac:dyDescent="0.35">
      <c r="A3232" t="s">
        <v>19</v>
      </c>
      <c r="B3232" t="s">
        <v>62</v>
      </c>
      <c r="S3232">
        <v>1490.7510031212273</v>
      </c>
    </row>
    <row r="3233" spans="1:19" x14ac:dyDescent="0.35">
      <c r="A3233" t="s">
        <v>19</v>
      </c>
      <c r="B3233" t="s">
        <v>63</v>
      </c>
      <c r="S3233">
        <v>2002.3159163940879</v>
      </c>
    </row>
    <row r="3234" spans="1:19" x14ac:dyDescent="0.35">
      <c r="A3234" t="s">
        <v>19</v>
      </c>
      <c r="B3234" t="s">
        <v>64</v>
      </c>
      <c r="S3234">
        <v>1688.9571253746681</v>
      </c>
    </row>
    <row r="3235" spans="1:19" x14ac:dyDescent="0.35">
      <c r="A3235" t="s">
        <v>19</v>
      </c>
      <c r="B3235" t="s">
        <v>65</v>
      </c>
      <c r="S3235">
        <v>1885.6865794394321</v>
      </c>
    </row>
    <row r="3236" spans="1:19" x14ac:dyDescent="0.35">
      <c r="A3236" t="s">
        <v>19</v>
      </c>
      <c r="B3236" t="s">
        <v>66</v>
      </c>
      <c r="S3236">
        <v>1297.4614134025974</v>
      </c>
    </row>
    <row r="3237" spans="1:19" x14ac:dyDescent="0.35">
      <c r="A3237" t="s">
        <v>20</v>
      </c>
      <c r="B3237" t="s">
        <v>72</v>
      </c>
      <c r="S3237">
        <v>79.068886515256608</v>
      </c>
    </row>
    <row r="3238" spans="1:19" x14ac:dyDescent="0.35">
      <c r="A3238" t="s">
        <v>20</v>
      </c>
      <c r="B3238" t="s">
        <v>61</v>
      </c>
      <c r="S3238">
        <v>87.434148735795517</v>
      </c>
    </row>
    <row r="3239" spans="1:19" x14ac:dyDescent="0.35">
      <c r="A3239" t="s">
        <v>20</v>
      </c>
      <c r="B3239" t="s">
        <v>62</v>
      </c>
      <c r="S3239">
        <v>166.49773498528626</v>
      </c>
    </row>
    <row r="3240" spans="1:19" x14ac:dyDescent="0.35">
      <c r="A3240" t="s">
        <v>20</v>
      </c>
      <c r="B3240" t="s">
        <v>63</v>
      </c>
      <c r="S3240">
        <v>230.47213040432104</v>
      </c>
    </row>
    <row r="3241" spans="1:19" x14ac:dyDescent="0.35">
      <c r="A3241" t="s">
        <v>20</v>
      </c>
      <c r="B3241" t="s">
        <v>64</v>
      </c>
      <c r="S3241">
        <v>191.86461461418278</v>
      </c>
    </row>
    <row r="3242" spans="1:19" x14ac:dyDescent="0.35">
      <c r="A3242" t="s">
        <v>20</v>
      </c>
      <c r="B3242" t="s">
        <v>65</v>
      </c>
      <c r="S3242">
        <v>216.86803782598477</v>
      </c>
    </row>
    <row r="3243" spans="1:19" x14ac:dyDescent="0.35">
      <c r="A3243" t="s">
        <v>20</v>
      </c>
      <c r="B3243" t="s">
        <v>66</v>
      </c>
      <c r="S3243">
        <v>144.43966176305929</v>
      </c>
    </row>
    <row r="3244" spans="1:19" x14ac:dyDescent="0.35">
      <c r="A3244" t="s">
        <v>21</v>
      </c>
      <c r="B3244" t="s">
        <v>72</v>
      </c>
      <c r="S3244">
        <v>238.56988934402727</v>
      </c>
    </row>
    <row r="3245" spans="1:19" x14ac:dyDescent="0.35">
      <c r="A3245" t="s">
        <v>21</v>
      </c>
      <c r="B3245" t="s">
        <v>61</v>
      </c>
      <c r="S3245">
        <v>243.40832836476002</v>
      </c>
    </row>
    <row r="3246" spans="1:19" x14ac:dyDescent="0.35">
      <c r="A3246" t="s">
        <v>21</v>
      </c>
      <c r="B3246" t="s">
        <v>62</v>
      </c>
      <c r="S3246">
        <v>511.94414824941191</v>
      </c>
    </row>
    <row r="3247" spans="1:19" x14ac:dyDescent="0.35">
      <c r="A3247" t="s">
        <v>21</v>
      </c>
      <c r="B3247" t="s">
        <v>63</v>
      </c>
      <c r="S3247">
        <v>689.1202789289913</v>
      </c>
    </row>
    <row r="3248" spans="1:19" x14ac:dyDescent="0.35">
      <c r="A3248" t="s">
        <v>21</v>
      </c>
      <c r="B3248" t="s">
        <v>64</v>
      </c>
      <c r="S3248">
        <v>580.71815570072874</v>
      </c>
    </row>
    <row r="3249" spans="1:19" x14ac:dyDescent="0.35">
      <c r="A3249" t="s">
        <v>21</v>
      </c>
      <c r="B3249" t="s">
        <v>65</v>
      </c>
      <c r="S3249">
        <v>648.94157648535634</v>
      </c>
    </row>
    <row r="3250" spans="1:19" x14ac:dyDescent="0.35">
      <c r="A3250" t="s">
        <v>21</v>
      </c>
      <c r="B3250" t="s">
        <v>66</v>
      </c>
      <c r="S3250">
        <v>445.46292231494152</v>
      </c>
    </row>
    <row r="3251" spans="1:19" x14ac:dyDescent="0.35">
      <c r="A3251" t="s">
        <v>22</v>
      </c>
      <c r="B3251" t="s">
        <v>72</v>
      </c>
      <c r="S3251">
        <v>202.75891753302079</v>
      </c>
    </row>
    <row r="3252" spans="1:19" x14ac:dyDescent="0.35">
      <c r="A3252" t="s">
        <v>22</v>
      </c>
      <c r="B3252" t="s">
        <v>61</v>
      </c>
      <c r="S3252">
        <v>242.02253474316632</v>
      </c>
    </row>
    <row r="3253" spans="1:19" x14ac:dyDescent="0.35">
      <c r="A3253" t="s">
        <v>22</v>
      </c>
      <c r="B3253" t="s">
        <v>62</v>
      </c>
      <c r="S3253">
        <v>418.59110033219827</v>
      </c>
    </row>
    <row r="3254" spans="1:19" x14ac:dyDescent="0.35">
      <c r="A3254" t="s">
        <v>22</v>
      </c>
      <c r="B3254" t="s">
        <v>63</v>
      </c>
      <c r="S3254">
        <v>596.481152581787</v>
      </c>
    </row>
    <row r="3255" spans="1:19" x14ac:dyDescent="0.35">
      <c r="A3255" t="s">
        <v>22</v>
      </c>
      <c r="B3255" t="s">
        <v>64</v>
      </c>
      <c r="S3255">
        <v>490.41883006000359</v>
      </c>
    </row>
    <row r="3256" spans="1:19" x14ac:dyDescent="0.35">
      <c r="A3256" t="s">
        <v>22</v>
      </c>
      <c r="B3256" t="s">
        <v>65</v>
      </c>
      <c r="S3256">
        <v>560.83778964901114</v>
      </c>
    </row>
    <row r="3257" spans="1:19" x14ac:dyDescent="0.35">
      <c r="A3257" t="s">
        <v>22</v>
      </c>
      <c r="B3257" t="s">
        <v>66</v>
      </c>
      <c r="S3257">
        <v>361.96287046201212</v>
      </c>
    </row>
    <row r="3258" spans="1:19" x14ac:dyDescent="0.35">
      <c r="A3258" t="s">
        <v>23</v>
      </c>
      <c r="B3258" t="s">
        <v>72</v>
      </c>
      <c r="S3258">
        <v>120.11555431337464</v>
      </c>
    </row>
    <row r="3259" spans="1:19" x14ac:dyDescent="0.35">
      <c r="A3259" t="s">
        <v>23</v>
      </c>
      <c r="B3259" t="s">
        <v>61</v>
      </c>
      <c r="S3259">
        <v>131.83838212207993</v>
      </c>
    </row>
    <row r="3260" spans="1:19" x14ac:dyDescent="0.35">
      <c r="A3260" t="s">
        <v>23</v>
      </c>
      <c r="B3260" t="s">
        <v>62</v>
      </c>
      <c r="S3260">
        <v>253.39350975610895</v>
      </c>
    </row>
    <row r="3261" spans="1:19" x14ac:dyDescent="0.35">
      <c r="A3261" t="s">
        <v>23</v>
      </c>
      <c r="B3261" t="s">
        <v>63</v>
      </c>
      <c r="S3261">
        <v>349.81334746060458</v>
      </c>
    </row>
    <row r="3262" spans="1:19" x14ac:dyDescent="0.35">
      <c r="A3262" t="s">
        <v>23</v>
      </c>
      <c r="B3262" t="s">
        <v>64</v>
      </c>
      <c r="S3262">
        <v>291.55411063467687</v>
      </c>
    </row>
    <row r="3263" spans="1:19" x14ac:dyDescent="0.35">
      <c r="A3263" t="s">
        <v>23</v>
      </c>
      <c r="B3263" t="s">
        <v>65</v>
      </c>
      <c r="S3263">
        <v>329.18894066178098</v>
      </c>
    </row>
    <row r="3264" spans="1:19" x14ac:dyDescent="0.35">
      <c r="A3264" t="s">
        <v>23</v>
      </c>
      <c r="B3264" t="s">
        <v>66</v>
      </c>
      <c r="S3264">
        <v>219.8880693804845</v>
      </c>
    </row>
    <row r="3265" spans="1:19" x14ac:dyDescent="0.35">
      <c r="A3265" t="s">
        <v>24</v>
      </c>
      <c r="B3265" t="s">
        <v>72</v>
      </c>
      <c r="S3265">
        <v>52.811483641781123</v>
      </c>
    </row>
    <row r="3266" spans="1:19" x14ac:dyDescent="0.35">
      <c r="A3266" t="s">
        <v>24</v>
      </c>
      <c r="B3266" t="s">
        <v>61</v>
      </c>
      <c r="S3266">
        <v>73.020211718491495</v>
      </c>
    </row>
    <row r="3267" spans="1:19" x14ac:dyDescent="0.35">
      <c r="A3267" t="s">
        <v>24</v>
      </c>
      <c r="B3267" t="s">
        <v>62</v>
      </c>
      <c r="S3267">
        <v>104.34067502736198</v>
      </c>
    </row>
    <row r="3268" spans="1:19" x14ac:dyDescent="0.35">
      <c r="A3268" t="s">
        <v>24</v>
      </c>
      <c r="B3268" t="s">
        <v>63</v>
      </c>
      <c r="S3268">
        <v>158.42971177490071</v>
      </c>
    </row>
    <row r="3269" spans="1:19" x14ac:dyDescent="0.35">
      <c r="A3269" t="s">
        <v>24</v>
      </c>
      <c r="B3269" t="s">
        <v>64</v>
      </c>
      <c r="S3269">
        <v>126.84795532222283</v>
      </c>
    </row>
    <row r="3270" spans="1:19" x14ac:dyDescent="0.35">
      <c r="A3270" t="s">
        <v>24</v>
      </c>
      <c r="B3270" t="s">
        <v>65</v>
      </c>
      <c r="S3270">
        <v>148.72113374409449</v>
      </c>
    </row>
    <row r="3271" spans="1:19" x14ac:dyDescent="0.35">
      <c r="A3271" t="s">
        <v>24</v>
      </c>
      <c r="B3271" t="s">
        <v>66</v>
      </c>
      <c r="S3271">
        <v>89.555173332291702</v>
      </c>
    </row>
    <row r="3272" spans="1:19" x14ac:dyDescent="0.35">
      <c r="A3272" t="s">
        <v>25</v>
      </c>
      <c r="B3272" t="s">
        <v>72</v>
      </c>
      <c r="S3272">
        <v>153.4181289893117</v>
      </c>
    </row>
    <row r="3273" spans="1:19" x14ac:dyDescent="0.35">
      <c r="A3273" t="s">
        <v>25</v>
      </c>
      <c r="B3273" t="s">
        <v>61</v>
      </c>
      <c r="S3273">
        <v>186.3016510490252</v>
      </c>
    </row>
    <row r="3274" spans="1:19" x14ac:dyDescent="0.35">
      <c r="A3274" t="s">
        <v>25</v>
      </c>
      <c r="B3274" t="s">
        <v>62</v>
      </c>
      <c r="S3274">
        <v>315.23743021239801</v>
      </c>
    </row>
    <row r="3275" spans="1:19" x14ac:dyDescent="0.35">
      <c r="A3275" t="s">
        <v>25</v>
      </c>
      <c r="B3275" t="s">
        <v>63</v>
      </c>
      <c r="S3275">
        <v>452.30480828480609</v>
      </c>
    </row>
    <row r="3276" spans="1:19" x14ac:dyDescent="0.35">
      <c r="A3276" t="s">
        <v>25</v>
      </c>
      <c r="B3276" t="s">
        <v>64</v>
      </c>
      <c r="S3276">
        <v>370.79420850347282</v>
      </c>
    </row>
    <row r="3277" spans="1:19" x14ac:dyDescent="0.35">
      <c r="A3277" t="s">
        <v>25</v>
      </c>
      <c r="B3277" t="s">
        <v>65</v>
      </c>
      <c r="S3277">
        <v>425.20006868150347</v>
      </c>
    </row>
    <row r="3278" spans="1:19" x14ac:dyDescent="0.35">
      <c r="A3278" t="s">
        <v>25</v>
      </c>
      <c r="B3278" t="s">
        <v>66</v>
      </c>
      <c r="S3278">
        <v>272.3781086468627</v>
      </c>
    </row>
    <row r="3279" spans="1:19" x14ac:dyDescent="0.35">
      <c r="A3279" t="s">
        <v>26</v>
      </c>
      <c r="B3279" t="s">
        <v>72</v>
      </c>
      <c r="S3279">
        <v>305.21096959991445</v>
      </c>
    </row>
    <row r="3280" spans="1:19" x14ac:dyDescent="0.35">
      <c r="A3280" t="s">
        <v>26</v>
      </c>
      <c r="B3280" t="s">
        <v>61</v>
      </c>
      <c r="S3280">
        <v>330.33588842386786</v>
      </c>
    </row>
    <row r="3281" spans="1:19" x14ac:dyDescent="0.35">
      <c r="A3281" t="s">
        <v>26</v>
      </c>
      <c r="B3281" t="s">
        <v>62</v>
      </c>
      <c r="S3281">
        <v>646.05678014443606</v>
      </c>
    </row>
    <row r="3282" spans="1:19" x14ac:dyDescent="0.35">
      <c r="A3282" t="s">
        <v>26</v>
      </c>
      <c r="B3282" t="s">
        <v>63</v>
      </c>
      <c r="S3282">
        <v>887.43512636697812</v>
      </c>
    </row>
    <row r="3283" spans="1:19" x14ac:dyDescent="0.35">
      <c r="A3283" t="s">
        <v>26</v>
      </c>
      <c r="B3283" t="s">
        <v>64</v>
      </c>
      <c r="S3283">
        <v>741.24766145665092</v>
      </c>
    </row>
    <row r="3284" spans="1:19" x14ac:dyDescent="0.35">
      <c r="A3284" t="s">
        <v>26</v>
      </c>
      <c r="B3284" t="s">
        <v>65</v>
      </c>
      <c r="S3284">
        <v>835.22736339532401</v>
      </c>
    </row>
    <row r="3285" spans="1:19" x14ac:dyDescent="0.35">
      <c r="A3285" t="s">
        <v>26</v>
      </c>
      <c r="B3285" t="s">
        <v>66</v>
      </c>
      <c r="S3285">
        <v>560.93694775780841</v>
      </c>
    </row>
    <row r="3286" spans="1:19" x14ac:dyDescent="0.35">
      <c r="A3286" t="s">
        <v>27</v>
      </c>
      <c r="B3286" t="s">
        <v>72</v>
      </c>
      <c r="S3286">
        <v>103.57735815830421</v>
      </c>
    </row>
    <row r="3287" spans="1:19" x14ac:dyDescent="0.35">
      <c r="A3287" t="s">
        <v>27</v>
      </c>
      <c r="B3287" t="s">
        <v>61</v>
      </c>
      <c r="S3287">
        <v>114.46049991768805</v>
      </c>
    </row>
    <row r="3288" spans="1:19" x14ac:dyDescent="0.35">
      <c r="A3288" t="s">
        <v>27</v>
      </c>
      <c r="B3288" t="s">
        <v>62</v>
      </c>
      <c r="S3288">
        <v>218.14120273269461</v>
      </c>
    </row>
    <row r="3289" spans="1:19" x14ac:dyDescent="0.35">
      <c r="A3289" t="s">
        <v>27</v>
      </c>
      <c r="B3289" t="s">
        <v>63</v>
      </c>
      <c r="S3289">
        <v>301.88702395296468</v>
      </c>
    </row>
    <row r="3290" spans="1:19" x14ac:dyDescent="0.35">
      <c r="A3290" t="s">
        <v>27</v>
      </c>
      <c r="B3290" t="s">
        <v>64</v>
      </c>
      <c r="S3290">
        <v>251.34233043403393</v>
      </c>
    </row>
    <row r="3291" spans="1:19" x14ac:dyDescent="0.35">
      <c r="A3291" t="s">
        <v>27</v>
      </c>
      <c r="B3291" t="s">
        <v>65</v>
      </c>
      <c r="S3291">
        <v>284.06935211057356</v>
      </c>
    </row>
    <row r="3292" spans="1:19" x14ac:dyDescent="0.35">
      <c r="A3292" t="s">
        <v>27</v>
      </c>
      <c r="B3292" t="s">
        <v>66</v>
      </c>
      <c r="S3292">
        <v>189.24620076404725</v>
      </c>
    </row>
    <row r="3293" spans="1:19" x14ac:dyDescent="0.35">
      <c r="A3293" t="s">
        <v>28</v>
      </c>
      <c r="B3293" t="s">
        <v>72</v>
      </c>
      <c r="S3293">
        <v>120.79825099833285</v>
      </c>
    </row>
    <row r="3294" spans="1:19" x14ac:dyDescent="0.35">
      <c r="A3294" t="s">
        <v>28</v>
      </c>
      <c r="B3294" t="s">
        <v>61</v>
      </c>
      <c r="S3294">
        <v>125.0650120881602</v>
      </c>
    </row>
    <row r="3295" spans="1:19" x14ac:dyDescent="0.35">
      <c r="A3295" t="s">
        <v>28</v>
      </c>
      <c r="B3295" t="s">
        <v>62</v>
      </c>
      <c r="S3295">
        <v>258.36628688330154</v>
      </c>
    </row>
    <row r="3296" spans="1:19" x14ac:dyDescent="0.35">
      <c r="A3296" t="s">
        <v>28</v>
      </c>
      <c r="B3296" t="s">
        <v>63</v>
      </c>
      <c r="S3296">
        <v>349.4897392387461</v>
      </c>
    </row>
    <row r="3297" spans="1:19" x14ac:dyDescent="0.35">
      <c r="A3297" t="s">
        <v>28</v>
      </c>
      <c r="B3297" t="s">
        <v>64</v>
      </c>
      <c r="S3297">
        <v>293.88095766841508</v>
      </c>
    </row>
    <row r="3298" spans="1:19" x14ac:dyDescent="0.35">
      <c r="A3298" t="s">
        <v>28</v>
      </c>
      <c r="B3298" t="s">
        <v>65</v>
      </c>
      <c r="S3298">
        <v>329.06821454618495</v>
      </c>
    </row>
    <row r="3299" spans="1:19" x14ac:dyDescent="0.35">
      <c r="A3299" t="s">
        <v>28</v>
      </c>
      <c r="B3299" t="s">
        <v>66</v>
      </c>
      <c r="S3299">
        <v>224.69743997492176</v>
      </c>
    </row>
    <row r="3300" spans="1:19" x14ac:dyDescent="0.35">
      <c r="A3300" t="s">
        <v>29</v>
      </c>
      <c r="B3300" t="s">
        <v>72</v>
      </c>
      <c r="S3300">
        <v>171.52127123431049</v>
      </c>
    </row>
    <row r="3301" spans="1:19" x14ac:dyDescent="0.35">
      <c r="A3301" t="s">
        <v>29</v>
      </c>
      <c r="B3301" t="s">
        <v>61</v>
      </c>
      <c r="S3301">
        <v>185.43564316845371</v>
      </c>
    </row>
    <row r="3302" spans="1:19" x14ac:dyDescent="0.35">
      <c r="A3302" t="s">
        <v>29</v>
      </c>
      <c r="B3302" t="s">
        <v>62</v>
      </c>
      <c r="S3302">
        <v>363.16484615874595</v>
      </c>
    </row>
    <row r="3303" spans="1:19" x14ac:dyDescent="0.35">
      <c r="A3303" t="s">
        <v>29</v>
      </c>
      <c r="B3303" t="s">
        <v>63</v>
      </c>
      <c r="S3303">
        <v>498.65426312435784</v>
      </c>
    </row>
    <row r="3304" spans="1:19" x14ac:dyDescent="0.35">
      <c r="A3304" t="s">
        <v>29</v>
      </c>
      <c r="B3304" t="s">
        <v>64</v>
      </c>
      <c r="S3304">
        <v>416.58174396358208</v>
      </c>
    </row>
    <row r="3305" spans="1:19" x14ac:dyDescent="0.35">
      <c r="A3305" t="s">
        <v>29</v>
      </c>
      <c r="B3305" t="s">
        <v>65</v>
      </c>
      <c r="S3305">
        <v>469.32348094797129</v>
      </c>
    </row>
    <row r="3306" spans="1:19" x14ac:dyDescent="0.35">
      <c r="A3306" t="s">
        <v>29</v>
      </c>
      <c r="B3306" t="s">
        <v>66</v>
      </c>
      <c r="S3306">
        <v>315.33027182953793</v>
      </c>
    </row>
    <row r="3307" spans="1:19" x14ac:dyDescent="0.35">
      <c r="A3307" t="s">
        <v>2</v>
      </c>
      <c r="B3307" t="s">
        <v>72</v>
      </c>
      <c r="R3307">
        <v>105.36482188113871</v>
      </c>
    </row>
    <row r="3308" spans="1:19" x14ac:dyDescent="0.35">
      <c r="A3308" t="s">
        <v>2</v>
      </c>
      <c r="B3308" t="s">
        <v>61</v>
      </c>
      <c r="R3308">
        <v>114.66197555370184</v>
      </c>
    </row>
    <row r="3309" spans="1:19" x14ac:dyDescent="0.35">
      <c r="A3309" t="s">
        <v>2</v>
      </c>
      <c r="B3309" t="s">
        <v>62</v>
      </c>
      <c r="R3309">
        <v>227.71300229721425</v>
      </c>
    </row>
    <row r="3310" spans="1:19" x14ac:dyDescent="0.35">
      <c r="A3310" t="s">
        <v>2</v>
      </c>
      <c r="B3310" t="s">
        <v>63</v>
      </c>
      <c r="R3310">
        <v>303.29630426329851</v>
      </c>
    </row>
    <row r="3311" spans="1:19" x14ac:dyDescent="0.35">
      <c r="A3311" t="s">
        <v>2</v>
      </c>
      <c r="B3311" t="s">
        <v>64</v>
      </c>
      <c r="R3311">
        <v>256.78083431966303</v>
      </c>
    </row>
    <row r="3312" spans="1:19" x14ac:dyDescent="0.35">
      <c r="A3312" t="s">
        <v>2</v>
      </c>
      <c r="B3312" t="s">
        <v>65</v>
      </c>
      <c r="R3312">
        <v>285.69737445826979</v>
      </c>
    </row>
    <row r="3313" spans="1:18" x14ac:dyDescent="0.35">
      <c r="A3313" t="s">
        <v>2</v>
      </c>
      <c r="B3313" t="s">
        <v>66</v>
      </c>
      <c r="R3313">
        <v>198.36378172835217</v>
      </c>
    </row>
    <row r="3314" spans="1:18" x14ac:dyDescent="0.35">
      <c r="A3314" t="s">
        <v>3</v>
      </c>
      <c r="B3314" t="s">
        <v>72</v>
      </c>
      <c r="R3314">
        <v>118.75929953740076</v>
      </c>
    </row>
    <row r="3315" spans="1:18" x14ac:dyDescent="0.35">
      <c r="A3315" t="s">
        <v>3</v>
      </c>
      <c r="B3315" t="s">
        <v>61</v>
      </c>
      <c r="R3315">
        <v>139.40328701307141</v>
      </c>
    </row>
    <row r="3316" spans="1:18" x14ac:dyDescent="0.35">
      <c r="A3316" t="s">
        <v>3</v>
      </c>
      <c r="B3316" t="s">
        <v>62</v>
      </c>
      <c r="R3316">
        <v>257.32623674306882</v>
      </c>
    </row>
    <row r="3317" spans="1:18" x14ac:dyDescent="0.35">
      <c r="A3317" t="s">
        <v>3</v>
      </c>
      <c r="B3317" t="s">
        <v>63</v>
      </c>
      <c r="R3317">
        <v>341.41739730807751</v>
      </c>
    </row>
    <row r="3318" spans="1:18" x14ac:dyDescent="0.35">
      <c r="A3318" t="s">
        <v>3</v>
      </c>
      <c r="B3318" t="s">
        <v>64</v>
      </c>
      <c r="R3318">
        <v>289.55016736231187</v>
      </c>
    </row>
    <row r="3319" spans="1:18" x14ac:dyDescent="0.35">
      <c r="A3319" t="s">
        <v>3</v>
      </c>
      <c r="B3319" t="s">
        <v>65</v>
      </c>
      <c r="R3319">
        <v>321.64149160806511</v>
      </c>
    </row>
    <row r="3320" spans="1:18" x14ac:dyDescent="0.35">
      <c r="A3320" t="s">
        <v>3</v>
      </c>
      <c r="B3320" t="s">
        <v>66</v>
      </c>
      <c r="R3320">
        <v>224.25109347554641</v>
      </c>
    </row>
    <row r="3321" spans="1:18" x14ac:dyDescent="0.35">
      <c r="A3321" t="s">
        <v>4</v>
      </c>
      <c r="B3321" t="s">
        <v>72</v>
      </c>
      <c r="R3321">
        <v>58.174388065757618</v>
      </c>
    </row>
    <row r="3322" spans="1:18" x14ac:dyDescent="0.35">
      <c r="A3322" t="s">
        <v>4</v>
      </c>
      <c r="B3322" t="s">
        <v>61</v>
      </c>
      <c r="R3322">
        <v>115.32204775026757</v>
      </c>
    </row>
    <row r="3323" spans="1:18" x14ac:dyDescent="0.35">
      <c r="A3323" t="s">
        <v>4</v>
      </c>
      <c r="B3323" t="s">
        <v>62</v>
      </c>
      <c r="R3323">
        <v>129.12992563688729</v>
      </c>
    </row>
    <row r="3324" spans="1:18" x14ac:dyDescent="0.35">
      <c r="A3324" t="s">
        <v>4</v>
      </c>
      <c r="B3324" t="s">
        <v>63</v>
      </c>
      <c r="R3324">
        <v>165.22915474432551</v>
      </c>
    </row>
    <row r="3325" spans="1:18" x14ac:dyDescent="0.35">
      <c r="A3325" t="s">
        <v>4</v>
      </c>
      <c r="B3325" t="s">
        <v>64</v>
      </c>
      <c r="R3325">
        <v>142.42013760673629</v>
      </c>
    </row>
    <row r="3326" spans="1:18" x14ac:dyDescent="0.35">
      <c r="A3326" t="s">
        <v>4</v>
      </c>
      <c r="B3326" t="s">
        <v>65</v>
      </c>
      <c r="R3326">
        <v>155.8208484121019</v>
      </c>
    </row>
    <row r="3327" spans="1:18" x14ac:dyDescent="0.35">
      <c r="A3327" t="s">
        <v>4</v>
      </c>
      <c r="B3327" t="s">
        <v>66</v>
      </c>
      <c r="R3327">
        <v>112.95157830579592</v>
      </c>
    </row>
    <row r="3328" spans="1:18" x14ac:dyDescent="0.35">
      <c r="A3328" t="s">
        <v>5</v>
      </c>
      <c r="B3328" t="s">
        <v>72</v>
      </c>
      <c r="R3328">
        <v>69.361582940398009</v>
      </c>
    </row>
    <row r="3329" spans="1:18" x14ac:dyDescent="0.35">
      <c r="A3329" t="s">
        <v>5</v>
      </c>
      <c r="B3329" t="s">
        <v>61</v>
      </c>
      <c r="R3329">
        <v>117.4178577548292</v>
      </c>
    </row>
    <row r="3330" spans="1:18" x14ac:dyDescent="0.35">
      <c r="A3330" t="s">
        <v>5</v>
      </c>
      <c r="B3330" t="s">
        <v>62</v>
      </c>
      <c r="R3330">
        <v>152.64791926275601</v>
      </c>
    </row>
    <row r="3331" spans="1:18" x14ac:dyDescent="0.35">
      <c r="A3331" t="s">
        <v>5</v>
      </c>
      <c r="B3331" t="s">
        <v>63</v>
      </c>
      <c r="R3331">
        <v>197.86355962682913</v>
      </c>
    </row>
    <row r="3332" spans="1:18" x14ac:dyDescent="0.35">
      <c r="A3332" t="s">
        <v>5</v>
      </c>
      <c r="B3332" t="s">
        <v>64</v>
      </c>
      <c r="R3332">
        <v>169.55899073676198</v>
      </c>
    </row>
    <row r="3333" spans="1:18" x14ac:dyDescent="0.35">
      <c r="A3333" t="s">
        <v>5</v>
      </c>
      <c r="B3333" t="s">
        <v>65</v>
      </c>
      <c r="R3333">
        <v>186.52690141957549</v>
      </c>
    </row>
    <row r="3334" spans="1:18" x14ac:dyDescent="0.35">
      <c r="A3334" t="s">
        <v>5</v>
      </c>
      <c r="B3334" t="s">
        <v>66</v>
      </c>
      <c r="R3334">
        <v>133.34834814615348</v>
      </c>
    </row>
    <row r="3335" spans="1:18" x14ac:dyDescent="0.35">
      <c r="A3335" t="s">
        <v>6</v>
      </c>
      <c r="B3335" t="s">
        <v>72</v>
      </c>
      <c r="R3335">
        <v>73.620704691276401</v>
      </c>
    </row>
    <row r="3336" spans="1:18" x14ac:dyDescent="0.35">
      <c r="A3336" t="s">
        <v>6</v>
      </c>
      <c r="B3336" t="s">
        <v>61</v>
      </c>
      <c r="R3336">
        <v>93.427467976300548</v>
      </c>
    </row>
    <row r="3337" spans="1:18" x14ac:dyDescent="0.35">
      <c r="A3337" t="s">
        <v>6</v>
      </c>
      <c r="B3337" t="s">
        <v>62</v>
      </c>
      <c r="R3337">
        <v>159.97920677472433</v>
      </c>
    </row>
    <row r="3338" spans="1:18" x14ac:dyDescent="0.35">
      <c r="A3338" t="s">
        <v>6</v>
      </c>
      <c r="B3338" t="s">
        <v>63</v>
      </c>
      <c r="R3338">
        <v>211.34964781047674</v>
      </c>
    </row>
    <row r="3339" spans="1:18" x14ac:dyDescent="0.35">
      <c r="A3339" t="s">
        <v>6</v>
      </c>
      <c r="B3339" t="s">
        <v>64</v>
      </c>
      <c r="R3339">
        <v>179.5835476002228</v>
      </c>
    </row>
    <row r="3340" spans="1:18" x14ac:dyDescent="0.35">
      <c r="A3340" t="s">
        <v>6</v>
      </c>
      <c r="B3340" t="s">
        <v>65</v>
      </c>
      <c r="R3340">
        <v>199.13183041145274</v>
      </c>
    </row>
    <row r="3341" spans="1:18" x14ac:dyDescent="0.35">
      <c r="A3341" t="s">
        <v>6</v>
      </c>
      <c r="B3341" t="s">
        <v>66</v>
      </c>
      <c r="R3341">
        <v>139.4789297540116</v>
      </c>
    </row>
    <row r="3342" spans="1:18" x14ac:dyDescent="0.35">
      <c r="A3342" t="s">
        <v>7</v>
      </c>
      <c r="B3342" t="s">
        <v>72</v>
      </c>
      <c r="R3342">
        <v>85.850988748687513</v>
      </c>
    </row>
    <row r="3343" spans="1:18" x14ac:dyDescent="0.35">
      <c r="A3343" t="s">
        <v>7</v>
      </c>
      <c r="B3343" t="s">
        <v>61</v>
      </c>
      <c r="R3343">
        <v>106.91327661218627</v>
      </c>
    </row>
    <row r="3344" spans="1:18" x14ac:dyDescent="0.35">
      <c r="A3344" t="s">
        <v>7</v>
      </c>
      <c r="B3344" t="s">
        <v>62</v>
      </c>
      <c r="R3344">
        <v>186.42267014987033</v>
      </c>
    </row>
    <row r="3345" spans="1:18" x14ac:dyDescent="0.35">
      <c r="A3345" t="s">
        <v>7</v>
      </c>
      <c r="B3345" t="s">
        <v>63</v>
      </c>
      <c r="R3345">
        <v>246.54739245386151</v>
      </c>
    </row>
    <row r="3346" spans="1:18" x14ac:dyDescent="0.35">
      <c r="A3346" t="s">
        <v>7</v>
      </c>
      <c r="B3346" t="s">
        <v>64</v>
      </c>
      <c r="R3346">
        <v>209.39172316962797</v>
      </c>
    </row>
    <row r="3347" spans="1:18" x14ac:dyDescent="0.35">
      <c r="A3347" t="s">
        <v>7</v>
      </c>
      <c r="B3347" t="s">
        <v>65</v>
      </c>
      <c r="R3347">
        <v>232.28781472929697</v>
      </c>
    </row>
    <row r="3348" spans="1:18" x14ac:dyDescent="0.35">
      <c r="A3348" t="s">
        <v>7</v>
      </c>
      <c r="B3348" t="s">
        <v>66</v>
      </c>
      <c r="R3348">
        <v>162.51575328714844</v>
      </c>
    </row>
    <row r="3349" spans="1:18" x14ac:dyDescent="0.35">
      <c r="A3349" t="s">
        <v>8</v>
      </c>
      <c r="B3349" t="s">
        <v>72</v>
      </c>
      <c r="R3349">
        <v>72.486389097576946</v>
      </c>
    </row>
    <row r="3350" spans="1:18" x14ac:dyDescent="0.35">
      <c r="A3350" t="s">
        <v>8</v>
      </c>
      <c r="B3350" t="s">
        <v>61</v>
      </c>
      <c r="R3350">
        <v>80.510769794328056</v>
      </c>
    </row>
    <row r="3351" spans="1:18" x14ac:dyDescent="0.35">
      <c r="A3351" t="s">
        <v>8</v>
      </c>
      <c r="B3351" t="s">
        <v>62</v>
      </c>
      <c r="R3351">
        <v>156.7631578776448</v>
      </c>
    </row>
    <row r="3352" spans="1:18" x14ac:dyDescent="0.35">
      <c r="A3352" t="s">
        <v>8</v>
      </c>
      <c r="B3352" t="s">
        <v>63</v>
      </c>
      <c r="R3352">
        <v>208.58484796536092</v>
      </c>
    </row>
    <row r="3353" spans="1:18" x14ac:dyDescent="0.35">
      <c r="A3353" t="s">
        <v>8</v>
      </c>
      <c r="B3353" t="s">
        <v>64</v>
      </c>
      <c r="R3353">
        <v>176.67418841307475</v>
      </c>
    </row>
    <row r="3354" spans="1:18" x14ac:dyDescent="0.35">
      <c r="A3354" t="s">
        <v>8</v>
      </c>
      <c r="B3354" t="s">
        <v>65</v>
      </c>
      <c r="R3354">
        <v>196.4872109985352</v>
      </c>
    </row>
    <row r="3355" spans="1:18" x14ac:dyDescent="0.35">
      <c r="A3355" t="s">
        <v>8</v>
      </c>
      <c r="B3355" t="s">
        <v>66</v>
      </c>
      <c r="R3355">
        <v>136.57299314271833</v>
      </c>
    </row>
    <row r="3356" spans="1:18" x14ac:dyDescent="0.35">
      <c r="A3356" t="s">
        <v>9</v>
      </c>
      <c r="B3356" t="s">
        <v>72</v>
      </c>
      <c r="R3356">
        <v>69.552115523717447</v>
      </c>
    </row>
    <row r="3357" spans="1:18" x14ac:dyDescent="0.35">
      <c r="A3357" t="s">
        <v>9</v>
      </c>
      <c r="B3357" t="s">
        <v>61</v>
      </c>
      <c r="R3357">
        <v>89.729085220687139</v>
      </c>
    </row>
    <row r="3358" spans="1:18" x14ac:dyDescent="0.35">
      <c r="A3358" t="s">
        <v>9</v>
      </c>
      <c r="B3358" t="s">
        <v>62</v>
      </c>
      <c r="R3358">
        <v>151.23395312372983</v>
      </c>
    </row>
    <row r="3359" spans="1:18" x14ac:dyDescent="0.35">
      <c r="A3359" t="s">
        <v>9</v>
      </c>
      <c r="B3359" t="s">
        <v>63</v>
      </c>
      <c r="R3359">
        <v>199.60683944607109</v>
      </c>
    </row>
    <row r="3360" spans="1:18" x14ac:dyDescent="0.35">
      <c r="A3360" t="s">
        <v>9</v>
      </c>
      <c r="B3360" t="s">
        <v>64</v>
      </c>
      <c r="R3360">
        <v>169.67718300264747</v>
      </c>
    </row>
    <row r="3361" spans="1:18" x14ac:dyDescent="0.35">
      <c r="A3361" t="s">
        <v>9</v>
      </c>
      <c r="B3361" t="s">
        <v>65</v>
      </c>
      <c r="R3361">
        <v>188.07291708231497</v>
      </c>
    </row>
    <row r="3362" spans="1:18" x14ac:dyDescent="0.35">
      <c r="A3362" t="s">
        <v>9</v>
      </c>
      <c r="B3362" t="s">
        <v>66</v>
      </c>
      <c r="R3362">
        <v>131.86734094041969</v>
      </c>
    </row>
    <row r="3363" spans="1:18" x14ac:dyDescent="0.35">
      <c r="A3363" t="s">
        <v>10</v>
      </c>
      <c r="B3363" t="s">
        <v>72</v>
      </c>
      <c r="R3363">
        <v>76.878989335842434</v>
      </c>
    </row>
    <row r="3364" spans="1:18" x14ac:dyDescent="0.35">
      <c r="A3364" t="s">
        <v>10</v>
      </c>
      <c r="B3364" t="s">
        <v>61</v>
      </c>
      <c r="R3364">
        <v>92.072303635152437</v>
      </c>
    </row>
    <row r="3365" spans="1:18" x14ac:dyDescent="0.35">
      <c r="A3365" t="s">
        <v>10</v>
      </c>
      <c r="B3365" t="s">
        <v>62</v>
      </c>
      <c r="R3365">
        <v>166.70020958413235</v>
      </c>
    </row>
    <row r="3366" spans="1:18" x14ac:dyDescent="0.35">
      <c r="A3366" t="s">
        <v>10</v>
      </c>
      <c r="B3366" t="s">
        <v>63</v>
      </c>
      <c r="R3366">
        <v>220.93864733397388</v>
      </c>
    </row>
    <row r="3367" spans="1:18" x14ac:dyDescent="0.35">
      <c r="A3367" t="s">
        <v>10</v>
      </c>
      <c r="B3367" t="s">
        <v>64</v>
      </c>
      <c r="R3367">
        <v>187.46338315161407</v>
      </c>
    </row>
    <row r="3368" spans="1:18" x14ac:dyDescent="0.35">
      <c r="A3368" t="s">
        <v>10</v>
      </c>
      <c r="B3368" t="s">
        <v>65</v>
      </c>
      <c r="R3368">
        <v>208.1475380608442</v>
      </c>
    </row>
    <row r="3369" spans="1:18" x14ac:dyDescent="0.35">
      <c r="A3369" t="s">
        <v>10</v>
      </c>
      <c r="B3369" t="s">
        <v>66</v>
      </c>
      <c r="R3369">
        <v>145.28988796629955</v>
      </c>
    </row>
    <row r="3370" spans="1:18" x14ac:dyDescent="0.35">
      <c r="A3370" t="s">
        <v>11</v>
      </c>
      <c r="B3370" t="s">
        <v>72</v>
      </c>
      <c r="R3370">
        <v>83.492410767198635</v>
      </c>
    </row>
    <row r="3371" spans="1:18" x14ac:dyDescent="0.35">
      <c r="A3371" t="s">
        <v>11</v>
      </c>
      <c r="B3371" t="s">
        <v>61</v>
      </c>
      <c r="R3371">
        <v>99.127826368875361</v>
      </c>
    </row>
    <row r="3372" spans="1:18" x14ac:dyDescent="0.35">
      <c r="A3372" t="s">
        <v>11</v>
      </c>
      <c r="B3372" t="s">
        <v>62</v>
      </c>
      <c r="R3372">
        <v>180.98378718133938</v>
      </c>
    </row>
    <row r="3373" spans="1:18" x14ac:dyDescent="0.35">
      <c r="A3373" t="s">
        <v>11</v>
      </c>
      <c r="B3373" t="s">
        <v>63</v>
      </c>
      <c r="R3373">
        <v>239.98166949812949</v>
      </c>
    </row>
    <row r="3374" spans="1:18" x14ac:dyDescent="0.35">
      <c r="A3374" t="s">
        <v>11</v>
      </c>
      <c r="B3374" t="s">
        <v>64</v>
      </c>
      <c r="R3374">
        <v>203.57896049485569</v>
      </c>
    </row>
    <row r="3375" spans="1:18" x14ac:dyDescent="0.35">
      <c r="A3375" t="s">
        <v>11</v>
      </c>
      <c r="B3375" t="s">
        <v>65</v>
      </c>
      <c r="R3375">
        <v>226.08509136884663</v>
      </c>
    </row>
    <row r="3376" spans="1:18" x14ac:dyDescent="0.35">
      <c r="A3376" t="s">
        <v>11</v>
      </c>
      <c r="B3376" t="s">
        <v>66</v>
      </c>
      <c r="R3376">
        <v>157.73123564475236</v>
      </c>
    </row>
    <row r="3377" spans="1:18" x14ac:dyDescent="0.35">
      <c r="A3377" t="s">
        <v>12</v>
      </c>
      <c r="B3377" t="s">
        <v>72</v>
      </c>
      <c r="R3377">
        <v>102.72392668059942</v>
      </c>
    </row>
    <row r="3378" spans="1:18" x14ac:dyDescent="0.35">
      <c r="A3378" t="s">
        <v>12</v>
      </c>
      <c r="B3378" t="s">
        <v>61</v>
      </c>
      <c r="R3378">
        <v>112.10076397610045</v>
      </c>
    </row>
    <row r="3379" spans="1:18" x14ac:dyDescent="0.35">
      <c r="A3379" t="s">
        <v>12</v>
      </c>
      <c r="B3379" t="s">
        <v>62</v>
      </c>
      <c r="R3379">
        <v>222.02600218342536</v>
      </c>
    </row>
    <row r="3380" spans="1:18" x14ac:dyDescent="0.35">
      <c r="A3380" t="s">
        <v>12</v>
      </c>
      <c r="B3380" t="s">
        <v>63</v>
      </c>
      <c r="R3380">
        <v>295.68100181502166</v>
      </c>
    </row>
    <row r="3381" spans="1:18" x14ac:dyDescent="0.35">
      <c r="A3381" t="s">
        <v>12</v>
      </c>
      <c r="B3381" t="s">
        <v>64</v>
      </c>
      <c r="R3381">
        <v>250.34868344892695</v>
      </c>
    </row>
    <row r="3382" spans="1:18" x14ac:dyDescent="0.35">
      <c r="A3382" t="s">
        <v>12</v>
      </c>
      <c r="B3382" t="s">
        <v>65</v>
      </c>
      <c r="R3382">
        <v>278.52503136437815</v>
      </c>
    </row>
    <row r="3383" spans="1:18" x14ac:dyDescent="0.35">
      <c r="A3383" t="s">
        <v>12</v>
      </c>
      <c r="B3383" t="s">
        <v>66</v>
      </c>
      <c r="R3383">
        <v>193.4125557829698</v>
      </c>
    </row>
    <row r="3384" spans="1:18" x14ac:dyDescent="0.35">
      <c r="A3384" t="s">
        <v>13</v>
      </c>
      <c r="B3384" t="s">
        <v>72</v>
      </c>
      <c r="R3384">
        <v>62.611600182478803</v>
      </c>
    </row>
    <row r="3385" spans="1:18" x14ac:dyDescent="0.35">
      <c r="A3385" t="s">
        <v>13</v>
      </c>
      <c r="B3385" t="s">
        <v>61</v>
      </c>
      <c r="R3385">
        <v>113.38364133236824</v>
      </c>
    </row>
    <row r="3386" spans="1:18" x14ac:dyDescent="0.35">
      <c r="A3386" t="s">
        <v>13</v>
      </c>
      <c r="B3386" t="s">
        <v>62</v>
      </c>
      <c r="R3386">
        <v>138.27667167777778</v>
      </c>
    </row>
    <row r="3387" spans="1:18" x14ac:dyDescent="0.35">
      <c r="A3387" t="s">
        <v>13</v>
      </c>
      <c r="B3387" t="s">
        <v>63</v>
      </c>
      <c r="R3387">
        <v>178.29166945367513</v>
      </c>
    </row>
    <row r="3388" spans="1:18" x14ac:dyDescent="0.35">
      <c r="A3388" t="s">
        <v>13</v>
      </c>
      <c r="B3388" t="s">
        <v>64</v>
      </c>
      <c r="R3388">
        <v>153.14993847094161</v>
      </c>
    </row>
    <row r="3389" spans="1:18" x14ac:dyDescent="0.35">
      <c r="A3389" t="s">
        <v>13</v>
      </c>
      <c r="B3389" t="s">
        <v>65</v>
      </c>
      <c r="R3389">
        <v>168.10208914516156</v>
      </c>
    </row>
    <row r="3390" spans="1:18" x14ac:dyDescent="0.35">
      <c r="A3390" t="s">
        <v>13</v>
      </c>
      <c r="B3390" t="s">
        <v>66</v>
      </c>
      <c r="R3390">
        <v>120.85895672248387</v>
      </c>
    </row>
    <row r="3391" spans="1:18" x14ac:dyDescent="0.35">
      <c r="A3391" t="s">
        <v>14</v>
      </c>
      <c r="B3391" t="s">
        <v>72</v>
      </c>
      <c r="R3391">
        <v>74.565365139230323</v>
      </c>
    </row>
    <row r="3392" spans="1:18" x14ac:dyDescent="0.35">
      <c r="A3392" t="s">
        <v>14</v>
      </c>
      <c r="B3392" t="s">
        <v>61</v>
      </c>
      <c r="R3392">
        <v>117.78254476016582</v>
      </c>
    </row>
    <row r="3393" spans="1:18" x14ac:dyDescent="0.35">
      <c r="A3393" t="s">
        <v>14</v>
      </c>
      <c r="B3393" t="s">
        <v>62</v>
      </c>
      <c r="R3393">
        <v>163.54750132610181</v>
      </c>
    </row>
    <row r="3394" spans="1:18" x14ac:dyDescent="0.35">
      <c r="A3394" t="s">
        <v>14</v>
      </c>
      <c r="B3394" t="s">
        <v>63</v>
      </c>
      <c r="R3394">
        <v>213.06975890824492</v>
      </c>
    </row>
    <row r="3395" spans="1:18" x14ac:dyDescent="0.35">
      <c r="A3395" t="s">
        <v>14</v>
      </c>
      <c r="B3395" t="s">
        <v>64</v>
      </c>
      <c r="R3395">
        <v>182.1751986732549</v>
      </c>
    </row>
    <row r="3396" spans="1:18" x14ac:dyDescent="0.35">
      <c r="A3396" t="s">
        <v>14</v>
      </c>
      <c r="B3396" t="s">
        <v>65</v>
      </c>
      <c r="R3396">
        <v>200.83249896978302</v>
      </c>
    </row>
    <row r="3397" spans="1:18" x14ac:dyDescent="0.35">
      <c r="A3397" t="s">
        <v>14</v>
      </c>
      <c r="B3397" t="s">
        <v>66</v>
      </c>
      <c r="R3397">
        <v>142.79577110152874</v>
      </c>
    </row>
    <row r="3398" spans="1:18" x14ac:dyDescent="0.35">
      <c r="A3398" t="s">
        <v>15</v>
      </c>
      <c r="B3398" t="s">
        <v>72</v>
      </c>
      <c r="R3398">
        <v>104.9218543382845</v>
      </c>
    </row>
    <row r="3399" spans="1:18" x14ac:dyDescent="0.35">
      <c r="A3399" t="s">
        <v>15</v>
      </c>
      <c r="B3399" t="s">
        <v>61</v>
      </c>
      <c r="R3399">
        <v>123.1542908106313</v>
      </c>
    </row>
    <row r="3400" spans="1:18" x14ac:dyDescent="0.35">
      <c r="A3400" t="s">
        <v>15</v>
      </c>
      <c r="B3400" t="s">
        <v>62</v>
      </c>
      <c r="R3400">
        <v>227.34302064161747</v>
      </c>
    </row>
    <row r="3401" spans="1:18" x14ac:dyDescent="0.35">
      <c r="A3401" t="s">
        <v>15</v>
      </c>
      <c r="B3401" t="s">
        <v>63</v>
      </c>
      <c r="R3401">
        <v>301.63682346778353</v>
      </c>
    </row>
    <row r="3402" spans="1:18" x14ac:dyDescent="0.35">
      <c r="A3402" t="s">
        <v>15</v>
      </c>
      <c r="B3402" t="s">
        <v>64</v>
      </c>
      <c r="R3402">
        <v>255.81265209012454</v>
      </c>
    </row>
    <row r="3403" spans="1:18" x14ac:dyDescent="0.35">
      <c r="A3403" t="s">
        <v>15</v>
      </c>
      <c r="B3403" t="s">
        <v>65</v>
      </c>
      <c r="R3403">
        <v>284.16510496865357</v>
      </c>
    </row>
    <row r="3404" spans="1:18" x14ac:dyDescent="0.35">
      <c r="A3404" t="s">
        <v>15</v>
      </c>
      <c r="B3404" t="s">
        <v>66</v>
      </c>
      <c r="R3404">
        <v>198.12168180567363</v>
      </c>
    </row>
    <row r="3405" spans="1:18" x14ac:dyDescent="0.35">
      <c r="A3405" t="s">
        <v>16</v>
      </c>
      <c r="B3405" t="s">
        <v>72</v>
      </c>
      <c r="R3405">
        <v>82.183149646306148</v>
      </c>
    </row>
    <row r="3406" spans="1:18" x14ac:dyDescent="0.35">
      <c r="A3406" t="s">
        <v>16</v>
      </c>
      <c r="B3406" t="s">
        <v>61</v>
      </c>
      <c r="R3406">
        <v>99.719848475674254</v>
      </c>
    </row>
    <row r="3407" spans="1:18" x14ac:dyDescent="0.35">
      <c r="A3407" t="s">
        <v>16</v>
      </c>
      <c r="B3407" t="s">
        <v>62</v>
      </c>
      <c r="R3407">
        <v>178.28622603571375</v>
      </c>
    </row>
    <row r="3408" spans="1:18" x14ac:dyDescent="0.35">
      <c r="A3408" t="s">
        <v>16</v>
      </c>
      <c r="B3408" t="s">
        <v>63</v>
      </c>
      <c r="R3408">
        <v>236.12653338682441</v>
      </c>
    </row>
    <row r="3409" spans="1:18" x14ac:dyDescent="0.35">
      <c r="A3409" t="s">
        <v>16</v>
      </c>
      <c r="B3409" t="s">
        <v>64</v>
      </c>
      <c r="R3409">
        <v>200.41323260210453</v>
      </c>
    </row>
    <row r="3410" spans="1:18" x14ac:dyDescent="0.35">
      <c r="A3410" t="s">
        <v>16</v>
      </c>
      <c r="B3410" t="s">
        <v>65</v>
      </c>
      <c r="R3410">
        <v>222.46060002212974</v>
      </c>
    </row>
    <row r="3411" spans="1:18" x14ac:dyDescent="0.35">
      <c r="A3411" t="s">
        <v>16</v>
      </c>
      <c r="B3411" t="s">
        <v>66</v>
      </c>
      <c r="R3411">
        <v>155.3993771951308</v>
      </c>
    </row>
    <row r="3412" spans="1:18" x14ac:dyDescent="0.35">
      <c r="A3412" t="s">
        <v>17</v>
      </c>
      <c r="B3412" t="s">
        <v>72</v>
      </c>
      <c r="R3412">
        <v>66.532825666055217</v>
      </c>
    </row>
    <row r="3413" spans="1:18" x14ac:dyDescent="0.35">
      <c r="A3413" t="s">
        <v>17</v>
      </c>
      <c r="B3413" t="s">
        <v>61</v>
      </c>
      <c r="R3413">
        <v>102.75860344383298</v>
      </c>
    </row>
    <row r="3414" spans="1:18" x14ac:dyDescent="0.35">
      <c r="A3414" t="s">
        <v>17</v>
      </c>
      <c r="B3414" t="s">
        <v>62</v>
      </c>
      <c r="R3414">
        <v>145.77650270513715</v>
      </c>
    </row>
    <row r="3415" spans="1:18" x14ac:dyDescent="0.35">
      <c r="A3415" t="s">
        <v>17</v>
      </c>
      <c r="B3415" t="s">
        <v>63</v>
      </c>
      <c r="R3415">
        <v>190.21690741777462</v>
      </c>
    </row>
    <row r="3416" spans="1:18" x14ac:dyDescent="0.35">
      <c r="A3416" t="s">
        <v>17</v>
      </c>
      <c r="B3416" t="s">
        <v>64</v>
      </c>
      <c r="R3416">
        <v>162.52142661588263</v>
      </c>
    </row>
    <row r="3417" spans="1:18" x14ac:dyDescent="0.35">
      <c r="A3417" t="s">
        <v>17</v>
      </c>
      <c r="B3417" t="s">
        <v>65</v>
      </c>
      <c r="R3417">
        <v>179.28405107659995</v>
      </c>
    </row>
    <row r="3418" spans="1:18" x14ac:dyDescent="0.35">
      <c r="A3418" t="s">
        <v>17</v>
      </c>
      <c r="B3418" t="s">
        <v>66</v>
      </c>
      <c r="R3418">
        <v>127.25907895699559</v>
      </c>
    </row>
    <row r="3419" spans="1:18" x14ac:dyDescent="0.35">
      <c r="A3419" t="s">
        <v>18</v>
      </c>
      <c r="B3419" t="s">
        <v>72</v>
      </c>
      <c r="R3419">
        <v>71.578483381207505</v>
      </c>
    </row>
    <row r="3420" spans="1:18" x14ac:dyDescent="0.35">
      <c r="A3420" t="s">
        <v>18</v>
      </c>
      <c r="B3420" t="s">
        <v>61</v>
      </c>
      <c r="R3420">
        <v>105.3899871927113</v>
      </c>
    </row>
    <row r="3421" spans="1:18" x14ac:dyDescent="0.35">
      <c r="A3421" t="s">
        <v>18</v>
      </c>
      <c r="B3421" t="s">
        <v>62</v>
      </c>
      <c r="R3421">
        <v>156.49396095465968</v>
      </c>
    </row>
    <row r="3422" spans="1:18" x14ac:dyDescent="0.35">
      <c r="A3422" t="s">
        <v>18</v>
      </c>
      <c r="B3422" t="s">
        <v>63</v>
      </c>
      <c r="R3422">
        <v>204.86348418116415</v>
      </c>
    </row>
    <row r="3423" spans="1:18" x14ac:dyDescent="0.35">
      <c r="A3423" t="s">
        <v>18</v>
      </c>
      <c r="B3423" t="s">
        <v>64</v>
      </c>
      <c r="R3423">
        <v>174.78253646369373</v>
      </c>
    </row>
    <row r="3424" spans="1:18" x14ac:dyDescent="0.35">
      <c r="A3424" t="s">
        <v>18</v>
      </c>
      <c r="B3424" t="s">
        <v>65</v>
      </c>
      <c r="R3424">
        <v>193.0709007169186</v>
      </c>
    </row>
    <row r="3425" spans="1:18" x14ac:dyDescent="0.35">
      <c r="A3425" t="s">
        <v>18</v>
      </c>
      <c r="B3425" t="s">
        <v>66</v>
      </c>
      <c r="R3425">
        <v>136.56964462039923</v>
      </c>
    </row>
    <row r="3426" spans="1:18" x14ac:dyDescent="0.35">
      <c r="A3426" t="s">
        <v>19</v>
      </c>
      <c r="B3426" t="s">
        <v>72</v>
      </c>
      <c r="R3426">
        <v>302.94878593558565</v>
      </c>
    </row>
    <row r="3427" spans="1:18" x14ac:dyDescent="0.35">
      <c r="A3427" t="s">
        <v>19</v>
      </c>
      <c r="B3427" t="s">
        <v>61</v>
      </c>
      <c r="R3427">
        <v>317.42180661132943</v>
      </c>
    </row>
    <row r="3428" spans="1:18" x14ac:dyDescent="0.35">
      <c r="A3428" t="s">
        <v>19</v>
      </c>
      <c r="B3428" t="s">
        <v>62</v>
      </c>
      <c r="R3428">
        <v>653.92645202877486</v>
      </c>
    </row>
    <row r="3429" spans="1:18" x14ac:dyDescent="0.35">
      <c r="A3429" t="s">
        <v>19</v>
      </c>
      <c r="B3429" t="s">
        <v>63</v>
      </c>
      <c r="R3429">
        <v>872.57366304874222</v>
      </c>
    </row>
    <row r="3430" spans="1:18" x14ac:dyDescent="0.35">
      <c r="A3430" t="s">
        <v>19</v>
      </c>
      <c r="B3430" t="s">
        <v>64</v>
      </c>
      <c r="R3430">
        <v>738.15352863161354</v>
      </c>
    </row>
    <row r="3431" spans="1:18" x14ac:dyDescent="0.35">
      <c r="A3431" t="s">
        <v>19</v>
      </c>
      <c r="B3431" t="s">
        <v>65</v>
      </c>
      <c r="R3431">
        <v>821.89987718010707</v>
      </c>
    </row>
    <row r="3432" spans="1:18" x14ac:dyDescent="0.35">
      <c r="A3432" t="s">
        <v>19</v>
      </c>
      <c r="B3432" t="s">
        <v>66</v>
      </c>
      <c r="R3432">
        <v>569.53436239470795</v>
      </c>
    </row>
    <row r="3433" spans="1:18" x14ac:dyDescent="0.35">
      <c r="A3433" t="s">
        <v>20</v>
      </c>
      <c r="B3433" t="s">
        <v>72</v>
      </c>
      <c r="R3433">
        <v>36.31230699983162</v>
      </c>
    </row>
    <row r="3434" spans="1:18" x14ac:dyDescent="0.35">
      <c r="A3434" t="s">
        <v>20</v>
      </c>
      <c r="B3434" t="s">
        <v>61</v>
      </c>
      <c r="R3434">
        <v>48.206919196397642</v>
      </c>
    </row>
    <row r="3435" spans="1:18" x14ac:dyDescent="0.35">
      <c r="A3435" t="s">
        <v>20</v>
      </c>
      <c r="B3435" t="s">
        <v>62</v>
      </c>
      <c r="R3435">
        <v>79.046432718522198</v>
      </c>
    </row>
    <row r="3436" spans="1:18" x14ac:dyDescent="0.35">
      <c r="A3436" t="s">
        <v>20</v>
      </c>
      <c r="B3436" t="s">
        <v>63</v>
      </c>
      <c r="R3436">
        <v>104.1540139138892</v>
      </c>
    </row>
    <row r="3437" spans="1:18" x14ac:dyDescent="0.35">
      <c r="A3437" t="s">
        <v>20</v>
      </c>
      <c r="B3437" t="s">
        <v>64</v>
      </c>
      <c r="R3437">
        <v>88.603258735551506</v>
      </c>
    </row>
    <row r="3438" spans="1:18" x14ac:dyDescent="0.35">
      <c r="A3438" t="s">
        <v>20</v>
      </c>
      <c r="B3438" t="s">
        <v>65</v>
      </c>
      <c r="R3438">
        <v>98.140362741712323</v>
      </c>
    </row>
    <row r="3439" spans="1:18" x14ac:dyDescent="0.35">
      <c r="A3439" t="s">
        <v>20</v>
      </c>
      <c r="B3439" t="s">
        <v>66</v>
      </c>
      <c r="R3439">
        <v>68.936043106436784</v>
      </c>
    </row>
    <row r="3440" spans="1:18" x14ac:dyDescent="0.35">
      <c r="A3440" t="s">
        <v>21</v>
      </c>
      <c r="B3440" t="s">
        <v>72</v>
      </c>
      <c r="R3440">
        <v>83.815035067069871</v>
      </c>
    </row>
    <row r="3441" spans="1:18" x14ac:dyDescent="0.35">
      <c r="A3441" t="s">
        <v>21</v>
      </c>
      <c r="B3441" t="s">
        <v>61</v>
      </c>
      <c r="R3441">
        <v>89.733220431836074</v>
      </c>
    </row>
    <row r="3442" spans="1:18" x14ac:dyDescent="0.35">
      <c r="A3442" t="s">
        <v>21</v>
      </c>
      <c r="B3442" t="s">
        <v>62</v>
      </c>
      <c r="R3442">
        <v>181.04320283205826</v>
      </c>
    </row>
    <row r="3443" spans="1:18" x14ac:dyDescent="0.35">
      <c r="A3443" t="s">
        <v>21</v>
      </c>
      <c r="B3443" t="s">
        <v>63</v>
      </c>
      <c r="R3443">
        <v>241.3277750406628</v>
      </c>
    </row>
    <row r="3444" spans="1:18" x14ac:dyDescent="0.35">
      <c r="A3444" t="s">
        <v>21</v>
      </c>
      <c r="B3444" t="s">
        <v>64</v>
      </c>
      <c r="R3444">
        <v>204.24428751563227</v>
      </c>
    </row>
    <row r="3445" spans="1:18" x14ac:dyDescent="0.35">
      <c r="A3445" t="s">
        <v>21</v>
      </c>
      <c r="B3445" t="s">
        <v>65</v>
      </c>
      <c r="R3445">
        <v>227.31951194295658</v>
      </c>
    </row>
    <row r="3446" spans="1:18" x14ac:dyDescent="0.35">
      <c r="A3446" t="s">
        <v>21</v>
      </c>
      <c r="B3446" t="s">
        <v>66</v>
      </c>
      <c r="R3446">
        <v>157.69590477173534</v>
      </c>
    </row>
    <row r="3447" spans="1:18" x14ac:dyDescent="0.35">
      <c r="A3447" t="s">
        <v>22</v>
      </c>
      <c r="B3447" t="s">
        <v>72</v>
      </c>
      <c r="R3447">
        <v>85.406090438725286</v>
      </c>
    </row>
    <row r="3448" spans="1:18" x14ac:dyDescent="0.35">
      <c r="A3448" t="s">
        <v>22</v>
      </c>
      <c r="B3448" t="s">
        <v>61</v>
      </c>
      <c r="R3448">
        <v>131.38335302940641</v>
      </c>
    </row>
    <row r="3449" spans="1:18" x14ac:dyDescent="0.35">
      <c r="A3449" t="s">
        <v>22</v>
      </c>
      <c r="B3449" t="s">
        <v>62</v>
      </c>
      <c r="R3449">
        <v>187.09436431413764</v>
      </c>
    </row>
    <row r="3450" spans="1:18" x14ac:dyDescent="0.35">
      <c r="A3450" t="s">
        <v>22</v>
      </c>
      <c r="B3450" t="s">
        <v>63</v>
      </c>
      <c r="R3450">
        <v>244.19791664276136</v>
      </c>
    </row>
    <row r="3451" spans="1:18" x14ac:dyDescent="0.35">
      <c r="A3451" t="s">
        <v>22</v>
      </c>
      <c r="B3451" t="s">
        <v>64</v>
      </c>
      <c r="R3451">
        <v>208.61712102712676</v>
      </c>
    </row>
    <row r="3452" spans="1:18" x14ac:dyDescent="0.35">
      <c r="A3452" t="s">
        <v>22</v>
      </c>
      <c r="B3452" t="s">
        <v>65</v>
      </c>
      <c r="R3452">
        <v>230.16064235513809</v>
      </c>
    </row>
    <row r="3453" spans="1:18" x14ac:dyDescent="0.35">
      <c r="A3453" t="s">
        <v>22</v>
      </c>
      <c r="B3453" t="s">
        <v>66</v>
      </c>
      <c r="R3453">
        <v>163.32386863048404</v>
      </c>
    </row>
    <row r="3454" spans="1:18" x14ac:dyDescent="0.35">
      <c r="A3454" t="s">
        <v>23</v>
      </c>
      <c r="B3454" t="s">
        <v>72</v>
      </c>
      <c r="R3454">
        <v>55.345952323459208</v>
      </c>
    </row>
    <row r="3455" spans="1:18" x14ac:dyDescent="0.35">
      <c r="A3455" t="s">
        <v>23</v>
      </c>
      <c r="B3455" t="s">
        <v>61</v>
      </c>
      <c r="R3455">
        <v>72.249461095389037</v>
      </c>
    </row>
    <row r="3456" spans="1:18" x14ac:dyDescent="0.35">
      <c r="A3456" t="s">
        <v>23</v>
      </c>
      <c r="B3456" t="s">
        <v>62</v>
      </c>
      <c r="R3456">
        <v>120.39958789065838</v>
      </c>
    </row>
    <row r="3457" spans="1:18" x14ac:dyDescent="0.35">
      <c r="A3457" t="s">
        <v>23</v>
      </c>
      <c r="B3457" t="s">
        <v>63</v>
      </c>
      <c r="R3457">
        <v>158.8004211746736</v>
      </c>
    </row>
    <row r="3458" spans="1:18" x14ac:dyDescent="0.35">
      <c r="A3458" t="s">
        <v>23</v>
      </c>
      <c r="B3458" t="s">
        <v>64</v>
      </c>
      <c r="R3458">
        <v>135.03078702564861</v>
      </c>
    </row>
    <row r="3459" spans="1:18" x14ac:dyDescent="0.35">
      <c r="A3459" t="s">
        <v>23</v>
      </c>
      <c r="B3459" t="s">
        <v>65</v>
      </c>
      <c r="R3459">
        <v>149.62735376808325</v>
      </c>
    </row>
    <row r="3460" spans="1:18" x14ac:dyDescent="0.35">
      <c r="A3460" t="s">
        <v>23</v>
      </c>
      <c r="B3460" t="s">
        <v>66</v>
      </c>
      <c r="R3460">
        <v>104.98907071632922</v>
      </c>
    </row>
    <row r="3461" spans="1:18" x14ac:dyDescent="0.35">
      <c r="A3461" t="s">
        <v>24</v>
      </c>
      <c r="B3461" t="s">
        <v>72</v>
      </c>
      <c r="R3461">
        <v>53.21030929858054</v>
      </c>
    </row>
    <row r="3462" spans="1:18" x14ac:dyDescent="0.35">
      <c r="A3462" t="s">
        <v>24</v>
      </c>
      <c r="B3462" t="s">
        <v>61</v>
      </c>
      <c r="R3462">
        <v>99.618777237885482</v>
      </c>
    </row>
    <row r="3463" spans="1:18" x14ac:dyDescent="0.35">
      <c r="A3463" t="s">
        <v>24</v>
      </c>
      <c r="B3463" t="s">
        <v>62</v>
      </c>
      <c r="R3463">
        <v>117.72743674815021</v>
      </c>
    </row>
    <row r="3464" spans="1:18" x14ac:dyDescent="0.35">
      <c r="A3464" t="s">
        <v>24</v>
      </c>
      <c r="B3464" t="s">
        <v>63</v>
      </c>
      <c r="R3464">
        <v>151.38109331320589</v>
      </c>
    </row>
    <row r="3465" spans="1:18" x14ac:dyDescent="0.35">
      <c r="A3465" t="s">
        <v>24</v>
      </c>
      <c r="B3465" t="s">
        <v>64</v>
      </c>
      <c r="R3465">
        <v>130.19453731136883</v>
      </c>
    </row>
    <row r="3466" spans="1:18" x14ac:dyDescent="0.35">
      <c r="A3466" t="s">
        <v>24</v>
      </c>
      <c r="B3466" t="s">
        <v>65</v>
      </c>
      <c r="R3466">
        <v>142.74083789855712</v>
      </c>
    </row>
    <row r="3467" spans="1:18" x14ac:dyDescent="0.35">
      <c r="A3467" t="s">
        <v>24</v>
      </c>
      <c r="B3467" t="s">
        <v>66</v>
      </c>
      <c r="R3467">
        <v>102.9266683337771</v>
      </c>
    </row>
    <row r="3468" spans="1:18" x14ac:dyDescent="0.35">
      <c r="A3468" t="s">
        <v>25</v>
      </c>
      <c r="B3468" t="s">
        <v>72</v>
      </c>
      <c r="R3468">
        <v>71.220542233290544</v>
      </c>
    </row>
    <row r="3469" spans="1:18" x14ac:dyDescent="0.35">
      <c r="A3469" t="s">
        <v>25</v>
      </c>
      <c r="B3469" t="s">
        <v>61</v>
      </c>
      <c r="R3469">
        <v>112.66140244834429</v>
      </c>
    </row>
    <row r="3470" spans="1:18" x14ac:dyDescent="0.35">
      <c r="A3470" t="s">
        <v>25</v>
      </c>
      <c r="B3470" t="s">
        <v>62</v>
      </c>
      <c r="R3470">
        <v>156.22177599629521</v>
      </c>
    </row>
    <row r="3471" spans="1:18" x14ac:dyDescent="0.35">
      <c r="A3471" t="s">
        <v>25</v>
      </c>
      <c r="B3471" t="s">
        <v>63</v>
      </c>
      <c r="R3471">
        <v>203.50501060374106</v>
      </c>
    </row>
    <row r="3472" spans="1:18" x14ac:dyDescent="0.35">
      <c r="A3472" t="s">
        <v>25</v>
      </c>
      <c r="B3472" t="s">
        <v>64</v>
      </c>
      <c r="R3472">
        <v>174.00527138541923</v>
      </c>
    </row>
    <row r="3473" spans="1:18" x14ac:dyDescent="0.35">
      <c r="A3473" t="s">
        <v>25</v>
      </c>
      <c r="B3473" t="s">
        <v>65</v>
      </c>
      <c r="R3473">
        <v>191.81764723506768</v>
      </c>
    </row>
    <row r="3474" spans="1:18" x14ac:dyDescent="0.35">
      <c r="A3474" t="s">
        <v>25</v>
      </c>
      <c r="B3474" t="s">
        <v>66</v>
      </c>
      <c r="R3474">
        <v>136.40099973781159</v>
      </c>
    </row>
    <row r="3475" spans="1:18" x14ac:dyDescent="0.35">
      <c r="A3475" t="s">
        <v>26</v>
      </c>
      <c r="B3475" t="s">
        <v>72</v>
      </c>
      <c r="R3475">
        <v>94.240511510475969</v>
      </c>
    </row>
    <row r="3476" spans="1:18" x14ac:dyDescent="0.35">
      <c r="A3476" t="s">
        <v>26</v>
      </c>
      <c r="B3476" t="s">
        <v>61</v>
      </c>
      <c r="R3476">
        <v>119.01295344393482</v>
      </c>
    </row>
    <row r="3477" spans="1:18" x14ac:dyDescent="0.35">
      <c r="A3477" t="s">
        <v>26</v>
      </c>
      <c r="B3477" t="s">
        <v>62</v>
      </c>
      <c r="R3477">
        <v>204.74836376477893</v>
      </c>
    </row>
    <row r="3478" spans="1:18" x14ac:dyDescent="0.35">
      <c r="A3478" t="s">
        <v>26</v>
      </c>
      <c r="B3478" t="s">
        <v>63</v>
      </c>
      <c r="R3478">
        <v>270.56972180832344</v>
      </c>
    </row>
    <row r="3479" spans="1:18" x14ac:dyDescent="0.35">
      <c r="A3479" t="s">
        <v>26</v>
      </c>
      <c r="B3479" t="s">
        <v>64</v>
      </c>
      <c r="R3479">
        <v>229.87438032370505</v>
      </c>
    </row>
    <row r="3480" spans="1:18" x14ac:dyDescent="0.35">
      <c r="A3480" t="s">
        <v>26</v>
      </c>
      <c r="B3480" t="s">
        <v>65</v>
      </c>
      <c r="R3480">
        <v>254.92646762985868</v>
      </c>
    </row>
    <row r="3481" spans="1:18" x14ac:dyDescent="0.35">
      <c r="A3481" t="s">
        <v>26</v>
      </c>
      <c r="B3481" t="s">
        <v>66</v>
      </c>
      <c r="R3481">
        <v>178.50604444109013</v>
      </c>
    </row>
    <row r="3482" spans="1:18" x14ac:dyDescent="0.35">
      <c r="A3482" t="s">
        <v>27</v>
      </c>
      <c r="B3482" t="s">
        <v>72</v>
      </c>
      <c r="R3482">
        <v>63.568492900824651</v>
      </c>
    </row>
    <row r="3483" spans="1:18" x14ac:dyDescent="0.35">
      <c r="A3483" t="s">
        <v>27</v>
      </c>
      <c r="B3483" t="s">
        <v>61</v>
      </c>
      <c r="R3483">
        <v>84.268067835693699</v>
      </c>
    </row>
    <row r="3484" spans="1:18" x14ac:dyDescent="0.35">
      <c r="A3484" t="s">
        <v>27</v>
      </c>
      <c r="B3484" t="s">
        <v>62</v>
      </c>
      <c r="R3484">
        <v>138.37098899257748</v>
      </c>
    </row>
    <row r="3485" spans="1:18" x14ac:dyDescent="0.35">
      <c r="A3485" t="s">
        <v>27</v>
      </c>
      <c r="B3485" t="s">
        <v>63</v>
      </c>
      <c r="R3485">
        <v>182.33777570177256</v>
      </c>
    </row>
    <row r="3486" spans="1:18" x14ac:dyDescent="0.35">
      <c r="A3486" t="s">
        <v>27</v>
      </c>
      <c r="B3486" t="s">
        <v>64</v>
      </c>
      <c r="R3486">
        <v>155.1077467423469</v>
      </c>
    </row>
    <row r="3487" spans="1:18" x14ac:dyDescent="0.35">
      <c r="A3487" t="s">
        <v>27</v>
      </c>
      <c r="B3487" t="s">
        <v>65</v>
      </c>
      <c r="R3487">
        <v>171.80951951682613</v>
      </c>
    </row>
    <row r="3488" spans="1:18" x14ac:dyDescent="0.35">
      <c r="A3488" t="s">
        <v>27</v>
      </c>
      <c r="B3488" t="s">
        <v>66</v>
      </c>
      <c r="R3488">
        <v>120.67163240295343</v>
      </c>
    </row>
    <row r="3489" spans="1:18" x14ac:dyDescent="0.35">
      <c r="A3489" t="s">
        <v>28</v>
      </c>
      <c r="B3489" t="s">
        <v>72</v>
      </c>
      <c r="R3489">
        <v>46.709899899951907</v>
      </c>
    </row>
    <row r="3490" spans="1:18" x14ac:dyDescent="0.35">
      <c r="A3490" t="s">
        <v>28</v>
      </c>
      <c r="B3490" t="s">
        <v>61</v>
      </c>
      <c r="R3490">
        <v>52.330951201442936</v>
      </c>
    </row>
    <row r="3491" spans="1:18" x14ac:dyDescent="0.35">
      <c r="A3491" t="s">
        <v>28</v>
      </c>
      <c r="B3491" t="s">
        <v>62</v>
      </c>
      <c r="R3491">
        <v>101.04693004703869</v>
      </c>
    </row>
    <row r="3492" spans="1:18" x14ac:dyDescent="0.35">
      <c r="A3492" t="s">
        <v>28</v>
      </c>
      <c r="B3492" t="s">
        <v>63</v>
      </c>
      <c r="R3492">
        <v>134.39184700318887</v>
      </c>
    </row>
    <row r="3493" spans="1:18" x14ac:dyDescent="0.35">
      <c r="A3493" t="s">
        <v>28</v>
      </c>
      <c r="B3493" t="s">
        <v>64</v>
      </c>
      <c r="R3493">
        <v>113.85363055732802</v>
      </c>
    </row>
    <row r="3494" spans="1:18" x14ac:dyDescent="0.35">
      <c r="A3494" t="s">
        <v>28</v>
      </c>
      <c r="B3494" t="s">
        <v>65</v>
      </c>
      <c r="R3494">
        <v>126.59885449312306</v>
      </c>
    </row>
    <row r="3495" spans="1:18" x14ac:dyDescent="0.35">
      <c r="A3495" t="s">
        <v>28</v>
      </c>
      <c r="B3495" t="s">
        <v>66</v>
      </c>
      <c r="R3495">
        <v>88.036705014048749</v>
      </c>
    </row>
    <row r="3496" spans="1:18" x14ac:dyDescent="0.35">
      <c r="A3496" t="s">
        <v>29</v>
      </c>
      <c r="B3496" t="s">
        <v>72</v>
      </c>
      <c r="R3496">
        <v>97.232508839538141</v>
      </c>
    </row>
    <row r="3497" spans="1:18" x14ac:dyDescent="0.35">
      <c r="A3497" t="s">
        <v>29</v>
      </c>
      <c r="B3497" t="s">
        <v>61</v>
      </c>
      <c r="R3497">
        <v>144.27978322326331</v>
      </c>
    </row>
    <row r="3498" spans="1:18" x14ac:dyDescent="0.35">
      <c r="A3498" t="s">
        <v>29</v>
      </c>
      <c r="B3498" t="s">
        <v>62</v>
      </c>
      <c r="R3498">
        <v>217.96574162798302</v>
      </c>
    </row>
    <row r="3499" spans="1:18" x14ac:dyDescent="0.35">
      <c r="A3499" t="s">
        <v>29</v>
      </c>
      <c r="B3499" t="s">
        <v>63</v>
      </c>
      <c r="R3499">
        <v>274.76414185170228</v>
      </c>
    </row>
    <row r="3500" spans="1:18" x14ac:dyDescent="0.35">
      <c r="A3500" t="s">
        <v>29</v>
      </c>
      <c r="B3500" t="s">
        <v>64</v>
      </c>
      <c r="R3500">
        <v>238.4460334133276</v>
      </c>
    </row>
    <row r="3501" spans="1:18" x14ac:dyDescent="0.35">
      <c r="A3501" t="s">
        <v>29</v>
      </c>
      <c r="B3501" t="s">
        <v>65</v>
      </c>
      <c r="R3501">
        <v>259.23289148630221</v>
      </c>
    </row>
    <row r="3502" spans="1:18" x14ac:dyDescent="0.35">
      <c r="A3502" t="s">
        <v>29</v>
      </c>
      <c r="B3502" t="s">
        <v>66</v>
      </c>
      <c r="R3502">
        <v>190.94165750848737</v>
      </c>
    </row>
    <row r="3503" spans="1:18" x14ac:dyDescent="0.35">
      <c r="A3503" t="s">
        <v>2</v>
      </c>
      <c r="B3503" t="s">
        <v>72</v>
      </c>
      <c r="Q3503">
        <v>50.738755120521304</v>
      </c>
    </row>
    <row r="3504" spans="1:18" x14ac:dyDescent="0.35">
      <c r="A3504" t="s">
        <v>2</v>
      </c>
      <c r="B3504" t="s">
        <v>61</v>
      </c>
      <c r="Q3504">
        <v>52.034525667220002</v>
      </c>
    </row>
    <row r="3505" spans="1:17" x14ac:dyDescent="0.35">
      <c r="A3505" t="s">
        <v>2</v>
      </c>
      <c r="B3505" t="s">
        <v>62</v>
      </c>
      <c r="Q3505">
        <v>108.75440462098101</v>
      </c>
    </row>
    <row r="3506" spans="1:17" x14ac:dyDescent="0.35">
      <c r="A3506" t="s">
        <v>2</v>
      </c>
      <c r="B3506" t="s">
        <v>63</v>
      </c>
      <c r="Q3506">
        <v>146.64323839502552</v>
      </c>
    </row>
    <row r="3507" spans="1:17" x14ac:dyDescent="0.35">
      <c r="A3507" t="s">
        <v>2</v>
      </c>
      <c r="B3507" t="s">
        <v>64</v>
      </c>
      <c r="Q3507">
        <v>123.48268621421022</v>
      </c>
    </row>
    <row r="3508" spans="1:17" x14ac:dyDescent="0.35">
      <c r="A3508" t="s">
        <v>2</v>
      </c>
      <c r="B3508" t="s">
        <v>65</v>
      </c>
      <c r="Q3508">
        <v>138.08673047001716</v>
      </c>
    </row>
    <row r="3509" spans="1:17" x14ac:dyDescent="0.35">
      <c r="A3509" t="s">
        <v>2</v>
      </c>
      <c r="B3509" t="s">
        <v>66</v>
      </c>
      <c r="Q3509">
        <v>94.61429968706318</v>
      </c>
    </row>
    <row r="3510" spans="1:17" x14ac:dyDescent="0.35">
      <c r="A3510" t="s">
        <v>3</v>
      </c>
      <c r="B3510" t="s">
        <v>72</v>
      </c>
      <c r="Q3510">
        <v>55.063833571696065</v>
      </c>
    </row>
    <row r="3511" spans="1:17" x14ac:dyDescent="0.35">
      <c r="A3511" t="s">
        <v>3</v>
      </c>
      <c r="B3511" t="s">
        <v>61</v>
      </c>
      <c r="Q3511">
        <v>57.941044369698943</v>
      </c>
    </row>
    <row r="3512" spans="1:17" x14ac:dyDescent="0.35">
      <c r="A3512" t="s">
        <v>3</v>
      </c>
      <c r="B3512" t="s">
        <v>62</v>
      </c>
      <c r="Q3512">
        <v>117.33410085439807</v>
      </c>
    </row>
    <row r="3513" spans="1:17" x14ac:dyDescent="0.35">
      <c r="A3513" t="s">
        <v>3</v>
      </c>
      <c r="B3513" t="s">
        <v>63</v>
      </c>
      <c r="Q3513">
        <v>159.59547194675264</v>
      </c>
    </row>
    <row r="3514" spans="1:17" x14ac:dyDescent="0.35">
      <c r="A3514" t="s">
        <v>3</v>
      </c>
      <c r="B3514" t="s">
        <v>64</v>
      </c>
      <c r="Q3514">
        <v>133.87764778372002</v>
      </c>
    </row>
    <row r="3515" spans="1:17" x14ac:dyDescent="0.35">
      <c r="A3515" t="s">
        <v>3</v>
      </c>
      <c r="B3515" t="s">
        <v>65</v>
      </c>
      <c r="Q3515">
        <v>150.24699612137198</v>
      </c>
    </row>
    <row r="3516" spans="1:17" x14ac:dyDescent="0.35">
      <c r="A3516" t="s">
        <v>3</v>
      </c>
      <c r="B3516" t="s">
        <v>66</v>
      </c>
      <c r="Q3516">
        <v>101.98337867481308</v>
      </c>
    </row>
    <row r="3517" spans="1:17" x14ac:dyDescent="0.35">
      <c r="A3517" t="s">
        <v>4</v>
      </c>
      <c r="B3517" t="s">
        <v>72</v>
      </c>
      <c r="Q3517">
        <v>17.139948105803558</v>
      </c>
    </row>
    <row r="3518" spans="1:17" x14ac:dyDescent="0.35">
      <c r="A3518" t="s">
        <v>4</v>
      </c>
      <c r="B3518" t="s">
        <v>61</v>
      </c>
      <c r="Q3518">
        <v>25.104778723853727</v>
      </c>
    </row>
    <row r="3519" spans="1:17" x14ac:dyDescent="0.35">
      <c r="A3519" t="s">
        <v>4</v>
      </c>
      <c r="B3519" t="s">
        <v>62</v>
      </c>
      <c r="Q3519">
        <v>33.203442259871103</v>
      </c>
    </row>
    <row r="3520" spans="1:17" x14ac:dyDescent="0.35">
      <c r="A3520" t="s">
        <v>4</v>
      </c>
      <c r="B3520" t="s">
        <v>63</v>
      </c>
      <c r="Q3520">
        <v>51.850419109943985</v>
      </c>
    </row>
    <row r="3521" spans="1:17" x14ac:dyDescent="0.35">
      <c r="A3521" t="s">
        <v>4</v>
      </c>
      <c r="B3521" t="s">
        <v>64</v>
      </c>
      <c r="Q3521">
        <v>41.043272837503146</v>
      </c>
    </row>
    <row r="3522" spans="1:17" x14ac:dyDescent="0.35">
      <c r="A3522" t="s">
        <v>4</v>
      </c>
      <c r="B3522" t="s">
        <v>65</v>
      </c>
      <c r="Q3522">
        <v>48.639671684716582</v>
      </c>
    </row>
    <row r="3523" spans="1:17" x14ac:dyDescent="0.35">
      <c r="A3523" t="s">
        <v>4</v>
      </c>
      <c r="B3523" t="s">
        <v>66</v>
      </c>
      <c r="Q3523">
        <v>28.399761224271128</v>
      </c>
    </row>
    <row r="3524" spans="1:17" x14ac:dyDescent="0.35">
      <c r="A3524" t="s">
        <v>5</v>
      </c>
      <c r="B3524" t="s">
        <v>72</v>
      </c>
      <c r="Q3524">
        <v>24.634183495056586</v>
      </c>
    </row>
    <row r="3525" spans="1:17" x14ac:dyDescent="0.35">
      <c r="A3525" t="s">
        <v>5</v>
      </c>
      <c r="B3525" t="s">
        <v>61</v>
      </c>
      <c r="Q3525">
        <v>31.33192214515153</v>
      </c>
    </row>
    <row r="3526" spans="1:17" x14ac:dyDescent="0.35">
      <c r="A3526" t="s">
        <v>5</v>
      </c>
      <c r="B3526" t="s">
        <v>62</v>
      </c>
      <c r="Q3526">
        <v>49.951613696629174</v>
      </c>
    </row>
    <row r="3527" spans="1:17" x14ac:dyDescent="0.35">
      <c r="A3527" t="s">
        <v>5</v>
      </c>
      <c r="B3527" t="s">
        <v>63</v>
      </c>
      <c r="Q3527">
        <v>73.061764277422853</v>
      </c>
    </row>
    <row r="3528" spans="1:17" x14ac:dyDescent="0.35">
      <c r="A3528" t="s">
        <v>5</v>
      </c>
      <c r="B3528" t="s">
        <v>64</v>
      </c>
      <c r="Q3528">
        <v>59.41181023114639</v>
      </c>
    </row>
    <row r="3529" spans="1:17" x14ac:dyDescent="0.35">
      <c r="A3529" t="s">
        <v>5</v>
      </c>
      <c r="B3529" t="s">
        <v>65</v>
      </c>
      <c r="Q3529">
        <v>68.649261170688845</v>
      </c>
    </row>
    <row r="3530" spans="1:17" x14ac:dyDescent="0.35">
      <c r="A3530" t="s">
        <v>5</v>
      </c>
      <c r="B3530" t="s">
        <v>66</v>
      </c>
      <c r="Q3530">
        <v>43.064645331492059</v>
      </c>
    </row>
    <row r="3531" spans="1:17" x14ac:dyDescent="0.35">
      <c r="A3531" t="s">
        <v>6</v>
      </c>
      <c r="B3531" t="s">
        <v>72</v>
      </c>
      <c r="Q3531">
        <v>32.669565596155799</v>
      </c>
    </row>
    <row r="3532" spans="1:17" x14ac:dyDescent="0.35">
      <c r="A3532" t="s">
        <v>6</v>
      </c>
      <c r="B3532" t="s">
        <v>61</v>
      </c>
      <c r="Q3532">
        <v>35.430090095810726</v>
      </c>
    </row>
    <row r="3533" spans="1:17" x14ac:dyDescent="0.35">
      <c r="A3533" t="s">
        <v>6</v>
      </c>
      <c r="B3533" t="s">
        <v>62</v>
      </c>
      <c r="Q3533">
        <v>69.120038169970869</v>
      </c>
    </row>
    <row r="3534" spans="1:17" x14ac:dyDescent="0.35">
      <c r="A3534" t="s">
        <v>6</v>
      </c>
      <c r="B3534" t="s">
        <v>63</v>
      </c>
      <c r="Q3534">
        <v>95.012298025321186</v>
      </c>
    </row>
    <row r="3535" spans="1:17" x14ac:dyDescent="0.35">
      <c r="A3535" t="s">
        <v>6</v>
      </c>
      <c r="B3535" t="s">
        <v>64</v>
      </c>
      <c r="Q3535">
        <v>79.336287257668346</v>
      </c>
    </row>
    <row r="3536" spans="1:17" x14ac:dyDescent="0.35">
      <c r="A3536" t="s">
        <v>6</v>
      </c>
      <c r="B3536" t="s">
        <v>65</v>
      </c>
      <c r="Q3536">
        <v>89.42098766949448</v>
      </c>
    </row>
    <row r="3537" spans="1:17" x14ac:dyDescent="0.35">
      <c r="A3537" t="s">
        <v>6</v>
      </c>
      <c r="B3537" t="s">
        <v>66</v>
      </c>
      <c r="Q3537">
        <v>60.008616015722154</v>
      </c>
    </row>
    <row r="3538" spans="1:17" x14ac:dyDescent="0.35">
      <c r="A3538" t="s">
        <v>7</v>
      </c>
      <c r="B3538" t="s">
        <v>72</v>
      </c>
      <c r="Q3538">
        <v>38.522228618908471</v>
      </c>
    </row>
    <row r="3539" spans="1:17" x14ac:dyDescent="0.35">
      <c r="A3539" t="s">
        <v>7</v>
      </c>
      <c r="B3539" t="s">
        <v>61</v>
      </c>
      <c r="Q3539">
        <v>41.457739122531997</v>
      </c>
    </row>
    <row r="3540" spans="1:17" x14ac:dyDescent="0.35">
      <c r="A3540" t="s">
        <v>7</v>
      </c>
      <c r="B3540" t="s">
        <v>62</v>
      </c>
      <c r="Q3540">
        <v>81.652762466917551</v>
      </c>
    </row>
    <row r="3541" spans="1:17" x14ac:dyDescent="0.35">
      <c r="A3541" t="s">
        <v>7</v>
      </c>
      <c r="B3541" t="s">
        <v>63</v>
      </c>
      <c r="Q3541">
        <v>111.93528690668491</v>
      </c>
    </row>
    <row r="3542" spans="1:17" x14ac:dyDescent="0.35">
      <c r="A3542" t="s">
        <v>7</v>
      </c>
      <c r="B3542" t="s">
        <v>64</v>
      </c>
      <c r="Q3542">
        <v>93.577615552339893</v>
      </c>
    </row>
    <row r="3543" spans="1:17" x14ac:dyDescent="0.35">
      <c r="A3543" t="s">
        <v>7</v>
      </c>
      <c r="B3543" t="s">
        <v>65</v>
      </c>
      <c r="Q3543">
        <v>105.35590626383205</v>
      </c>
    </row>
    <row r="3544" spans="1:17" x14ac:dyDescent="0.35">
      <c r="A3544" t="s">
        <v>7</v>
      </c>
      <c r="B3544" t="s">
        <v>66</v>
      </c>
      <c r="Q3544">
        <v>70.910202118301314</v>
      </c>
    </row>
    <row r="3545" spans="1:17" x14ac:dyDescent="0.35">
      <c r="A3545" t="s">
        <v>8</v>
      </c>
      <c r="B3545" t="s">
        <v>72</v>
      </c>
      <c r="Q3545">
        <v>34.565623671418905</v>
      </c>
    </row>
    <row r="3546" spans="1:17" x14ac:dyDescent="0.35">
      <c r="A3546" t="s">
        <v>8</v>
      </c>
      <c r="B3546" t="s">
        <v>61</v>
      </c>
      <c r="Q3546">
        <v>35.684004256331946</v>
      </c>
    </row>
    <row r="3547" spans="1:17" x14ac:dyDescent="0.35">
      <c r="A3547" t="s">
        <v>8</v>
      </c>
      <c r="B3547" t="s">
        <v>62</v>
      </c>
      <c r="Q3547">
        <v>73.977955385727284</v>
      </c>
    </row>
    <row r="3548" spans="1:17" x14ac:dyDescent="0.35">
      <c r="A3548" t="s">
        <v>8</v>
      </c>
      <c r="B3548" t="s">
        <v>63</v>
      </c>
      <c r="Q3548">
        <v>99.972678973453824</v>
      </c>
    </row>
    <row r="3549" spans="1:17" x14ac:dyDescent="0.35">
      <c r="A3549" t="s">
        <v>8</v>
      </c>
      <c r="B3549" t="s">
        <v>64</v>
      </c>
      <c r="Q3549">
        <v>84.101227741179216</v>
      </c>
    </row>
    <row r="3550" spans="1:17" x14ac:dyDescent="0.35">
      <c r="A3550" t="s">
        <v>8</v>
      </c>
      <c r="B3550" t="s">
        <v>65</v>
      </c>
      <c r="Q3550">
        <v>94.133556849712164</v>
      </c>
    </row>
    <row r="3551" spans="1:17" x14ac:dyDescent="0.35">
      <c r="A3551" t="s">
        <v>8</v>
      </c>
      <c r="B3551" t="s">
        <v>66</v>
      </c>
      <c r="Q3551">
        <v>64.344205009540673</v>
      </c>
    </row>
    <row r="3552" spans="1:17" x14ac:dyDescent="0.35">
      <c r="A3552" t="s">
        <v>9</v>
      </c>
      <c r="B3552" t="s">
        <v>72</v>
      </c>
      <c r="Q3552">
        <v>30.557875943676905</v>
      </c>
    </row>
    <row r="3553" spans="1:17" x14ac:dyDescent="0.35">
      <c r="A3553" t="s">
        <v>9</v>
      </c>
      <c r="B3553" t="s">
        <v>61</v>
      </c>
      <c r="Q3553">
        <v>33.369997155798117</v>
      </c>
    </row>
    <row r="3554" spans="1:17" x14ac:dyDescent="0.35">
      <c r="A3554" t="s">
        <v>9</v>
      </c>
      <c r="B3554" t="s">
        <v>62</v>
      </c>
      <c r="Q3554">
        <v>64.544249289137625</v>
      </c>
    </row>
    <row r="3555" spans="1:17" x14ac:dyDescent="0.35">
      <c r="A3555" t="s">
        <v>9</v>
      </c>
      <c r="B3555" t="s">
        <v>63</v>
      </c>
      <c r="Q3555">
        <v>88.941601541217381</v>
      </c>
    </row>
    <row r="3556" spans="1:17" x14ac:dyDescent="0.35">
      <c r="A3556" t="s">
        <v>9</v>
      </c>
      <c r="B3556" t="s">
        <v>64</v>
      </c>
      <c r="Q3556">
        <v>74.187682410414652</v>
      </c>
    </row>
    <row r="3557" spans="1:17" x14ac:dyDescent="0.35">
      <c r="A3557" t="s">
        <v>9</v>
      </c>
      <c r="B3557" t="s">
        <v>65</v>
      </c>
      <c r="Q3557">
        <v>83.701913086612024</v>
      </c>
    </row>
    <row r="3558" spans="1:17" x14ac:dyDescent="0.35">
      <c r="A3558" t="s">
        <v>9</v>
      </c>
      <c r="B3558" t="s">
        <v>66</v>
      </c>
      <c r="Q3558">
        <v>56.020943197482573</v>
      </c>
    </row>
    <row r="3559" spans="1:17" x14ac:dyDescent="0.35">
      <c r="A3559" t="s">
        <v>10</v>
      </c>
      <c r="B3559" t="s">
        <v>72</v>
      </c>
      <c r="Q3559">
        <v>35.263192026950485</v>
      </c>
    </row>
    <row r="3560" spans="1:17" x14ac:dyDescent="0.35">
      <c r="A3560" t="s">
        <v>10</v>
      </c>
      <c r="B3560" t="s">
        <v>61</v>
      </c>
      <c r="Q3560">
        <v>37.380727120930977</v>
      </c>
    </row>
    <row r="3561" spans="1:17" x14ac:dyDescent="0.35">
      <c r="A3561" t="s">
        <v>10</v>
      </c>
      <c r="B3561" t="s">
        <v>62</v>
      </c>
      <c r="Q3561">
        <v>75.012310359517997</v>
      </c>
    </row>
    <row r="3562" spans="1:17" x14ac:dyDescent="0.35">
      <c r="A3562" t="s">
        <v>10</v>
      </c>
      <c r="B3562" t="s">
        <v>63</v>
      </c>
      <c r="Q3562">
        <v>102.29034436648729</v>
      </c>
    </row>
    <row r="3563" spans="1:17" x14ac:dyDescent="0.35">
      <c r="A3563" t="s">
        <v>10</v>
      </c>
      <c r="B3563" t="s">
        <v>64</v>
      </c>
      <c r="Q3563">
        <v>85.711527407355916</v>
      </c>
    </row>
    <row r="3564" spans="1:17" x14ac:dyDescent="0.35">
      <c r="A3564" t="s">
        <v>10</v>
      </c>
      <c r="B3564" t="s">
        <v>65</v>
      </c>
      <c r="Q3564">
        <v>96.291827560043799</v>
      </c>
    </row>
    <row r="3565" spans="1:17" x14ac:dyDescent="0.35">
      <c r="A3565" t="s">
        <v>10</v>
      </c>
      <c r="B3565" t="s">
        <v>66</v>
      </c>
      <c r="Q3565">
        <v>65.180632776868549</v>
      </c>
    </row>
    <row r="3566" spans="1:17" x14ac:dyDescent="0.35">
      <c r="A3566" t="s">
        <v>11</v>
      </c>
      <c r="B3566" t="s">
        <v>72</v>
      </c>
      <c r="Q3566">
        <v>38.477477383248782</v>
      </c>
    </row>
    <row r="3567" spans="1:17" x14ac:dyDescent="0.35">
      <c r="A3567" t="s">
        <v>11</v>
      </c>
      <c r="B3567" t="s">
        <v>61</v>
      </c>
      <c r="Q3567">
        <v>40.656629383482475</v>
      </c>
    </row>
    <row r="3568" spans="1:17" x14ac:dyDescent="0.35">
      <c r="A3568" t="s">
        <v>11</v>
      </c>
      <c r="B3568" t="s">
        <v>62</v>
      </c>
      <c r="Q3568">
        <v>81.911482589749525</v>
      </c>
    </row>
    <row r="3569" spans="1:17" x14ac:dyDescent="0.35">
      <c r="A3569" t="s">
        <v>11</v>
      </c>
      <c r="B3569" t="s">
        <v>63</v>
      </c>
      <c r="Q3569">
        <v>111.57386014816211</v>
      </c>
    </row>
    <row r="3570" spans="1:17" x14ac:dyDescent="0.35">
      <c r="A3570" t="s">
        <v>11</v>
      </c>
      <c r="B3570" t="s">
        <v>64</v>
      </c>
      <c r="Q3570">
        <v>93.535942046542743</v>
      </c>
    </row>
    <row r="3571" spans="1:17" x14ac:dyDescent="0.35">
      <c r="A3571" t="s">
        <v>11</v>
      </c>
      <c r="B3571" t="s">
        <v>65</v>
      </c>
      <c r="Q3571">
        <v>105.03416208356451</v>
      </c>
    </row>
    <row r="3572" spans="1:17" x14ac:dyDescent="0.35">
      <c r="A3572" t="s">
        <v>11</v>
      </c>
      <c r="B3572" t="s">
        <v>66</v>
      </c>
      <c r="Q3572">
        <v>71.184107021552421</v>
      </c>
    </row>
    <row r="3573" spans="1:17" x14ac:dyDescent="0.35">
      <c r="A3573" t="s">
        <v>12</v>
      </c>
      <c r="B3573" t="s">
        <v>72</v>
      </c>
      <c r="Q3573">
        <v>49.401648923121797</v>
      </c>
    </row>
    <row r="3574" spans="1:17" x14ac:dyDescent="0.35">
      <c r="A3574" t="s">
        <v>12</v>
      </c>
      <c r="B3574" t="s">
        <v>61</v>
      </c>
      <c r="Q3574">
        <v>50.708525201240406</v>
      </c>
    </row>
    <row r="3575" spans="1:17" x14ac:dyDescent="0.35">
      <c r="A3575" t="s">
        <v>12</v>
      </c>
      <c r="B3575" t="s">
        <v>62</v>
      </c>
      <c r="Q3575">
        <v>105.86717574662066</v>
      </c>
    </row>
    <row r="3576" spans="1:17" x14ac:dyDescent="0.35">
      <c r="A3576" t="s">
        <v>12</v>
      </c>
      <c r="B3576" t="s">
        <v>63</v>
      </c>
      <c r="Q3576">
        <v>142.79269128327769</v>
      </c>
    </row>
    <row r="3577" spans="1:17" x14ac:dyDescent="0.35">
      <c r="A3577" t="s">
        <v>12</v>
      </c>
      <c r="B3577" t="s">
        <v>64</v>
      </c>
      <c r="Q3577">
        <v>120.22454782108925</v>
      </c>
    </row>
    <row r="3578" spans="1:17" x14ac:dyDescent="0.35">
      <c r="A3578" t="s">
        <v>12</v>
      </c>
      <c r="B3578" t="s">
        <v>65</v>
      </c>
      <c r="Q3578">
        <v>134.45974536010317</v>
      </c>
    </row>
    <row r="3579" spans="1:17" x14ac:dyDescent="0.35">
      <c r="A3579" t="s">
        <v>12</v>
      </c>
      <c r="B3579" t="s">
        <v>66</v>
      </c>
      <c r="Q3579">
        <v>92.099539011116818</v>
      </c>
    </row>
    <row r="3580" spans="1:17" x14ac:dyDescent="0.35">
      <c r="A3580" t="s">
        <v>13</v>
      </c>
      <c r="B3580" t="s">
        <v>72</v>
      </c>
      <c r="Q3580">
        <v>20.691436087778193</v>
      </c>
    </row>
    <row r="3581" spans="1:17" x14ac:dyDescent="0.35">
      <c r="A3581" t="s">
        <v>13</v>
      </c>
      <c r="B3581" t="s">
        <v>61</v>
      </c>
      <c r="Q3581">
        <v>27.767678756752332</v>
      </c>
    </row>
    <row r="3582" spans="1:17" x14ac:dyDescent="0.35">
      <c r="A3582" t="s">
        <v>13</v>
      </c>
      <c r="B3582" t="s">
        <v>62</v>
      </c>
      <c r="Q3582">
        <v>41.275630329803221</v>
      </c>
    </row>
    <row r="3583" spans="1:17" x14ac:dyDescent="0.35">
      <c r="A3583" t="s">
        <v>13</v>
      </c>
      <c r="B3583" t="s">
        <v>63</v>
      </c>
      <c r="Q3583">
        <v>61.813847417924961</v>
      </c>
    </row>
    <row r="3584" spans="1:17" x14ac:dyDescent="0.35">
      <c r="A3584" t="s">
        <v>13</v>
      </c>
      <c r="B3584" t="s">
        <v>64</v>
      </c>
      <c r="Q3584">
        <v>49.773700126731264</v>
      </c>
    </row>
    <row r="3585" spans="1:17" x14ac:dyDescent="0.35">
      <c r="A3585" t="s">
        <v>13</v>
      </c>
      <c r="B3585" t="s">
        <v>65</v>
      </c>
      <c r="Q3585">
        <v>58.045852764100822</v>
      </c>
    </row>
    <row r="3586" spans="1:17" x14ac:dyDescent="0.35">
      <c r="A3586" t="s">
        <v>13</v>
      </c>
      <c r="B3586" t="s">
        <v>66</v>
      </c>
      <c r="Q3586">
        <v>35.485722953108116</v>
      </c>
    </row>
    <row r="3587" spans="1:17" x14ac:dyDescent="0.35">
      <c r="A3587" t="s">
        <v>14</v>
      </c>
      <c r="B3587" t="s">
        <v>72</v>
      </c>
      <c r="Q3587">
        <v>28.247732126214014</v>
      </c>
    </row>
    <row r="3588" spans="1:17" x14ac:dyDescent="0.35">
      <c r="A3588" t="s">
        <v>14</v>
      </c>
      <c r="B3588" t="s">
        <v>61</v>
      </c>
      <c r="Q3588">
        <v>34.27103242181478</v>
      </c>
    </row>
    <row r="3589" spans="1:17" x14ac:dyDescent="0.35">
      <c r="A3589" t="s">
        <v>14</v>
      </c>
      <c r="B3589" t="s">
        <v>62</v>
      </c>
      <c r="Q3589">
        <v>58.057005749122901</v>
      </c>
    </row>
    <row r="3590" spans="1:17" x14ac:dyDescent="0.35">
      <c r="A3590" t="s">
        <v>14</v>
      </c>
      <c r="B3590" t="s">
        <v>63</v>
      </c>
      <c r="Q3590">
        <v>83.269882062364502</v>
      </c>
    </row>
    <row r="3591" spans="1:17" x14ac:dyDescent="0.35">
      <c r="A3591" t="s">
        <v>14</v>
      </c>
      <c r="B3591" t="s">
        <v>64</v>
      </c>
      <c r="Q3591">
        <v>68.274349467039556</v>
      </c>
    </row>
    <row r="3592" spans="1:17" x14ac:dyDescent="0.35">
      <c r="A3592" t="s">
        <v>14</v>
      </c>
      <c r="B3592" t="s">
        <v>65</v>
      </c>
      <c r="Q3592">
        <v>78.280620898558681</v>
      </c>
    </row>
    <row r="3593" spans="1:17" x14ac:dyDescent="0.35">
      <c r="A3593" t="s">
        <v>14</v>
      </c>
      <c r="B3593" t="s">
        <v>66</v>
      </c>
      <c r="Q3593">
        <v>50.165752008771669</v>
      </c>
    </row>
    <row r="3594" spans="1:17" x14ac:dyDescent="0.35">
      <c r="A3594" t="s">
        <v>15</v>
      </c>
      <c r="B3594" t="s">
        <v>72</v>
      </c>
      <c r="Q3594">
        <v>48.649267976317148</v>
      </c>
    </row>
    <row r="3595" spans="1:17" x14ac:dyDescent="0.35">
      <c r="A3595" t="s">
        <v>15</v>
      </c>
      <c r="B3595" t="s">
        <v>61</v>
      </c>
      <c r="Q3595">
        <v>51.190374104867225</v>
      </c>
    </row>
    <row r="3596" spans="1:17" x14ac:dyDescent="0.35">
      <c r="A3596" t="s">
        <v>15</v>
      </c>
      <c r="B3596" t="s">
        <v>62</v>
      </c>
      <c r="Q3596">
        <v>103.66590493964281</v>
      </c>
    </row>
    <row r="3597" spans="1:17" x14ac:dyDescent="0.35">
      <c r="A3597" t="s">
        <v>15</v>
      </c>
      <c r="B3597" t="s">
        <v>63</v>
      </c>
      <c r="Q3597">
        <v>141.00338931236709</v>
      </c>
    </row>
    <row r="3598" spans="1:17" x14ac:dyDescent="0.35">
      <c r="A3598" t="s">
        <v>15</v>
      </c>
      <c r="B3598" t="s">
        <v>64</v>
      </c>
      <c r="Q3598">
        <v>118.28188658317887</v>
      </c>
    </row>
    <row r="3599" spans="1:17" x14ac:dyDescent="0.35">
      <c r="A3599" t="s">
        <v>15</v>
      </c>
      <c r="B3599" t="s">
        <v>65</v>
      </c>
      <c r="Q3599">
        <v>132.74398746190525</v>
      </c>
    </row>
    <row r="3600" spans="1:17" x14ac:dyDescent="0.35">
      <c r="A3600" t="s">
        <v>15</v>
      </c>
      <c r="B3600" t="s">
        <v>66</v>
      </c>
      <c r="Q3600">
        <v>90.103441799697805</v>
      </c>
    </row>
    <row r="3601" spans="1:17" x14ac:dyDescent="0.35">
      <c r="A3601" t="s">
        <v>16</v>
      </c>
      <c r="B3601" t="s">
        <v>72</v>
      </c>
      <c r="Q3601">
        <v>37.425366008651032</v>
      </c>
    </row>
    <row r="3602" spans="1:17" x14ac:dyDescent="0.35">
      <c r="A3602" t="s">
        <v>16</v>
      </c>
      <c r="B3602" t="s">
        <v>61</v>
      </c>
      <c r="Q3602">
        <v>39.869505218319055</v>
      </c>
    </row>
    <row r="3603" spans="1:17" x14ac:dyDescent="0.35">
      <c r="A3603" t="s">
        <v>16</v>
      </c>
      <c r="B3603" t="s">
        <v>62</v>
      </c>
      <c r="Q3603">
        <v>79.519314879789022</v>
      </c>
    </row>
    <row r="3604" spans="1:17" x14ac:dyDescent="0.35">
      <c r="A3604" t="s">
        <v>16</v>
      </c>
      <c r="B3604" t="s">
        <v>63</v>
      </c>
      <c r="Q3604">
        <v>108.62277899606944</v>
      </c>
    </row>
    <row r="3605" spans="1:17" x14ac:dyDescent="0.35">
      <c r="A3605" t="s">
        <v>16</v>
      </c>
      <c r="B3605" t="s">
        <v>64</v>
      </c>
      <c r="Q3605">
        <v>90.949439044434612</v>
      </c>
    </row>
    <row r="3606" spans="1:17" x14ac:dyDescent="0.35">
      <c r="A3606" t="s">
        <v>16</v>
      </c>
      <c r="B3606" t="s">
        <v>65</v>
      </c>
      <c r="Q3606">
        <v>102.24808841553487</v>
      </c>
    </row>
    <row r="3607" spans="1:17" x14ac:dyDescent="0.35">
      <c r="A3607" t="s">
        <v>16</v>
      </c>
      <c r="B3607" t="s">
        <v>66</v>
      </c>
      <c r="Q3607">
        <v>69.084097883485612</v>
      </c>
    </row>
    <row r="3608" spans="1:17" x14ac:dyDescent="0.35">
      <c r="A3608" t="s">
        <v>17</v>
      </c>
      <c r="B3608" t="s">
        <v>72</v>
      </c>
      <c r="Q3608">
        <v>25.693079499694271</v>
      </c>
    </row>
    <row r="3609" spans="1:17" x14ac:dyDescent="0.35">
      <c r="A3609" t="s">
        <v>17</v>
      </c>
      <c r="B3609" t="s">
        <v>61</v>
      </c>
      <c r="Q3609">
        <v>30.741968388583157</v>
      </c>
    </row>
    <row r="3610" spans="1:17" x14ac:dyDescent="0.35">
      <c r="A3610" t="s">
        <v>17</v>
      </c>
      <c r="B3610" t="s">
        <v>62</v>
      </c>
      <c r="Q3610">
        <v>53.008251352568571</v>
      </c>
    </row>
    <row r="3611" spans="1:17" x14ac:dyDescent="0.35">
      <c r="A3611" t="s">
        <v>17</v>
      </c>
      <c r="B3611" t="s">
        <v>63</v>
      </c>
      <c r="Q3611">
        <v>75.607120375553976</v>
      </c>
    </row>
    <row r="3612" spans="1:17" x14ac:dyDescent="0.35">
      <c r="A3612" t="s">
        <v>17</v>
      </c>
      <c r="B3612" t="s">
        <v>64</v>
      </c>
      <c r="Q3612">
        <v>62.138046641274649</v>
      </c>
    </row>
    <row r="3613" spans="1:17" x14ac:dyDescent="0.35">
      <c r="A3613" t="s">
        <v>17</v>
      </c>
      <c r="B3613" t="s">
        <v>65</v>
      </c>
      <c r="Q3613">
        <v>71.087358871633313</v>
      </c>
    </row>
    <row r="3614" spans="1:17" x14ac:dyDescent="0.35">
      <c r="A3614" t="s">
        <v>17</v>
      </c>
      <c r="B3614" t="s">
        <v>66</v>
      </c>
      <c r="Q3614">
        <v>45.832206145164463</v>
      </c>
    </row>
    <row r="3615" spans="1:17" x14ac:dyDescent="0.35">
      <c r="A3615" t="s">
        <v>18</v>
      </c>
      <c r="B3615" t="s">
        <v>72</v>
      </c>
      <c r="Q3615">
        <v>28.720634621996684</v>
      </c>
    </row>
    <row r="3616" spans="1:17" x14ac:dyDescent="0.35">
      <c r="A3616" t="s">
        <v>18</v>
      </c>
      <c r="B3616" t="s">
        <v>61</v>
      </c>
      <c r="Q3616">
        <v>33.4330393344014</v>
      </c>
    </row>
    <row r="3617" spans="1:17" x14ac:dyDescent="0.35">
      <c r="A3617" t="s">
        <v>18</v>
      </c>
      <c r="B3617" t="s">
        <v>62</v>
      </c>
      <c r="Q3617">
        <v>59.691886922236286</v>
      </c>
    </row>
    <row r="3618" spans="1:17" x14ac:dyDescent="0.35">
      <c r="A3618" t="s">
        <v>18</v>
      </c>
      <c r="B3618" t="s">
        <v>63</v>
      </c>
      <c r="Q3618">
        <v>84.230078888918868</v>
      </c>
    </row>
    <row r="3619" spans="1:17" x14ac:dyDescent="0.35">
      <c r="A3619" t="s">
        <v>18</v>
      </c>
      <c r="B3619" t="s">
        <v>64</v>
      </c>
      <c r="Q3619">
        <v>69.543035383614011</v>
      </c>
    </row>
    <row r="3620" spans="1:17" x14ac:dyDescent="0.35">
      <c r="A3620" t="s">
        <v>18</v>
      </c>
      <c r="B3620" t="s">
        <v>65</v>
      </c>
      <c r="Q3620">
        <v>79.217363040371978</v>
      </c>
    </row>
    <row r="3621" spans="1:17" x14ac:dyDescent="0.35">
      <c r="A3621" t="s">
        <v>18</v>
      </c>
      <c r="B3621" t="s">
        <v>66</v>
      </c>
      <c r="Q3621">
        <v>51.673595698973003</v>
      </c>
    </row>
    <row r="3622" spans="1:17" x14ac:dyDescent="0.35">
      <c r="A3622" t="s">
        <v>19</v>
      </c>
      <c r="B3622" t="s">
        <v>72</v>
      </c>
      <c r="Q3622">
        <v>148.44867435962337</v>
      </c>
    </row>
    <row r="3623" spans="1:17" x14ac:dyDescent="0.35">
      <c r="A3623" t="s">
        <v>19</v>
      </c>
      <c r="B3623" t="s">
        <v>61</v>
      </c>
      <c r="Q3623">
        <v>150.46582009840299</v>
      </c>
    </row>
    <row r="3624" spans="1:17" x14ac:dyDescent="0.35">
      <c r="A3624" t="s">
        <v>19</v>
      </c>
      <c r="B3624" t="s">
        <v>62</v>
      </c>
      <c r="Q3624">
        <v>319.02071466794263</v>
      </c>
    </row>
    <row r="3625" spans="1:17" x14ac:dyDescent="0.35">
      <c r="A3625" t="s">
        <v>19</v>
      </c>
      <c r="B3625" t="s">
        <v>63</v>
      </c>
      <c r="Q3625">
        <v>428.49560610833481</v>
      </c>
    </row>
    <row r="3626" spans="1:17" x14ac:dyDescent="0.35">
      <c r="A3626" t="s">
        <v>19</v>
      </c>
      <c r="B3626" t="s">
        <v>64</v>
      </c>
      <c r="Q3626">
        <v>361.43682483017892</v>
      </c>
    </row>
    <row r="3627" spans="1:17" x14ac:dyDescent="0.35">
      <c r="A3627" t="s">
        <v>19</v>
      </c>
      <c r="B3627" t="s">
        <v>65</v>
      </c>
      <c r="Q3627">
        <v>403.53692800003842</v>
      </c>
    </row>
    <row r="3628" spans="1:17" x14ac:dyDescent="0.35">
      <c r="A3628" t="s">
        <v>19</v>
      </c>
      <c r="B3628" t="s">
        <v>66</v>
      </c>
      <c r="Q3628">
        <v>277.65674246815581</v>
      </c>
    </row>
    <row r="3629" spans="1:17" x14ac:dyDescent="0.35">
      <c r="A3629" t="s">
        <v>20</v>
      </c>
      <c r="B3629" t="s">
        <v>72</v>
      </c>
      <c r="Q3629">
        <v>15.669474991922915</v>
      </c>
    </row>
    <row r="3630" spans="1:17" x14ac:dyDescent="0.35">
      <c r="A3630" t="s">
        <v>20</v>
      </c>
      <c r="B3630" t="s">
        <v>61</v>
      </c>
      <c r="Q3630">
        <v>17.327260663918178</v>
      </c>
    </row>
    <row r="3631" spans="1:17" x14ac:dyDescent="0.35">
      <c r="A3631" t="s">
        <v>20</v>
      </c>
      <c r="B3631" t="s">
        <v>62</v>
      </c>
      <c r="Q3631">
        <v>32.995685275779742</v>
      </c>
    </row>
    <row r="3632" spans="1:17" x14ac:dyDescent="0.35">
      <c r="A3632" t="s">
        <v>20</v>
      </c>
      <c r="B3632" t="s">
        <v>63</v>
      </c>
      <c r="Q3632">
        <v>45.673809798862891</v>
      </c>
    </row>
    <row r="3633" spans="1:17" x14ac:dyDescent="0.35">
      <c r="A3633" t="s">
        <v>20</v>
      </c>
      <c r="B3633" t="s">
        <v>64</v>
      </c>
      <c r="Q3633">
        <v>38.02276613509369</v>
      </c>
    </row>
    <row r="3634" spans="1:17" x14ac:dyDescent="0.35">
      <c r="A3634" t="s">
        <v>20</v>
      </c>
      <c r="B3634" t="s">
        <v>65</v>
      </c>
      <c r="Q3634">
        <v>42.977819026273572</v>
      </c>
    </row>
    <row r="3635" spans="1:17" x14ac:dyDescent="0.35">
      <c r="A3635" t="s">
        <v>20</v>
      </c>
      <c r="B3635" t="s">
        <v>66</v>
      </c>
      <c r="Q3635">
        <v>28.624327059435089</v>
      </c>
    </row>
    <row r="3636" spans="1:17" x14ac:dyDescent="0.35">
      <c r="A3636" t="s">
        <v>21</v>
      </c>
      <c r="B3636" t="s">
        <v>72</v>
      </c>
      <c r="Q3636">
        <v>40.670266237764999</v>
      </c>
    </row>
    <row r="3637" spans="1:17" x14ac:dyDescent="0.35">
      <c r="A3637" t="s">
        <v>21</v>
      </c>
      <c r="B3637" t="s">
        <v>61</v>
      </c>
      <c r="Q3637">
        <v>41.495100434944952</v>
      </c>
    </row>
    <row r="3638" spans="1:17" x14ac:dyDescent="0.35">
      <c r="A3638" t="s">
        <v>21</v>
      </c>
      <c r="B3638" t="s">
        <v>62</v>
      </c>
      <c r="Q3638">
        <v>87.273816764633025</v>
      </c>
    </row>
    <row r="3639" spans="1:17" x14ac:dyDescent="0.35">
      <c r="A3639" t="s">
        <v>21</v>
      </c>
      <c r="B3639" t="s">
        <v>63</v>
      </c>
      <c r="Q3639">
        <v>117.47796543372382</v>
      </c>
    </row>
    <row r="3640" spans="1:17" x14ac:dyDescent="0.35">
      <c r="A3640" t="s">
        <v>21</v>
      </c>
      <c r="B3640" t="s">
        <v>64</v>
      </c>
      <c r="Q3640">
        <v>98.998084235997041</v>
      </c>
    </row>
    <row r="3641" spans="1:17" x14ac:dyDescent="0.35">
      <c r="A3641" t="s">
        <v>21</v>
      </c>
      <c r="B3641" t="s">
        <v>65</v>
      </c>
      <c r="Q3641">
        <v>110.62849029684195</v>
      </c>
    </row>
    <row r="3642" spans="1:17" x14ac:dyDescent="0.35">
      <c r="A3642" t="s">
        <v>21</v>
      </c>
      <c r="B3642" t="s">
        <v>66</v>
      </c>
      <c r="Q3642">
        <v>75.940411840808309</v>
      </c>
    </row>
    <row r="3643" spans="1:17" x14ac:dyDescent="0.35">
      <c r="A3643" t="s">
        <v>22</v>
      </c>
      <c r="B3643" t="s">
        <v>72</v>
      </c>
      <c r="Q3643">
        <v>33.091073946049519</v>
      </c>
    </row>
    <row r="3644" spans="1:17" x14ac:dyDescent="0.35">
      <c r="A3644" t="s">
        <v>22</v>
      </c>
      <c r="B3644" t="s">
        <v>61</v>
      </c>
      <c r="Q3644">
        <v>39.499054794924938</v>
      </c>
    </row>
    <row r="3645" spans="1:17" x14ac:dyDescent="0.35">
      <c r="A3645" t="s">
        <v>22</v>
      </c>
      <c r="B3645" t="s">
        <v>62</v>
      </c>
      <c r="Q3645">
        <v>68.315757564621862</v>
      </c>
    </row>
    <row r="3646" spans="1:17" x14ac:dyDescent="0.35">
      <c r="A3646" t="s">
        <v>22</v>
      </c>
      <c r="B3646" t="s">
        <v>63</v>
      </c>
      <c r="Q3646">
        <v>97.348132292599388</v>
      </c>
    </row>
    <row r="3647" spans="1:17" x14ac:dyDescent="0.35">
      <c r="A3647" t="s">
        <v>22</v>
      </c>
      <c r="B3647" t="s">
        <v>64</v>
      </c>
      <c r="Q3647">
        <v>80.038333048447754</v>
      </c>
    </row>
    <row r="3648" spans="1:17" x14ac:dyDescent="0.35">
      <c r="A3648" t="s">
        <v>22</v>
      </c>
      <c r="B3648" t="s">
        <v>65</v>
      </c>
      <c r="Q3648">
        <v>91.530991557951893</v>
      </c>
    </row>
    <row r="3649" spans="1:17" x14ac:dyDescent="0.35">
      <c r="A3649" t="s">
        <v>22</v>
      </c>
      <c r="B3649" t="s">
        <v>66</v>
      </c>
      <c r="Q3649">
        <v>59.073801822956177</v>
      </c>
    </row>
    <row r="3650" spans="1:17" x14ac:dyDescent="0.35">
      <c r="A3650" t="s">
        <v>23</v>
      </c>
      <c r="B3650" t="s">
        <v>72</v>
      </c>
      <c r="Q3650">
        <v>24.139141575263434</v>
      </c>
    </row>
    <row r="3651" spans="1:17" x14ac:dyDescent="0.35">
      <c r="A3651" t="s">
        <v>23</v>
      </c>
      <c r="B3651" t="s">
        <v>61</v>
      </c>
      <c r="Q3651">
        <v>26.495031299574212</v>
      </c>
    </row>
    <row r="3652" spans="1:17" x14ac:dyDescent="0.35">
      <c r="A3652" t="s">
        <v>23</v>
      </c>
      <c r="B3652" t="s">
        <v>62</v>
      </c>
      <c r="Q3652">
        <v>50.923478155855513</v>
      </c>
    </row>
    <row r="3653" spans="1:17" x14ac:dyDescent="0.35">
      <c r="A3653" t="s">
        <v>23</v>
      </c>
      <c r="B3653" t="s">
        <v>63</v>
      </c>
      <c r="Q3653">
        <v>70.300586527186411</v>
      </c>
    </row>
    <row r="3654" spans="1:17" x14ac:dyDescent="0.35">
      <c r="A3654" t="s">
        <v>23</v>
      </c>
      <c r="B3654" t="s">
        <v>64</v>
      </c>
      <c r="Q3654">
        <v>58.592461181997223</v>
      </c>
    </row>
    <row r="3655" spans="1:17" x14ac:dyDescent="0.35">
      <c r="A3655" t="s">
        <v>23</v>
      </c>
      <c r="B3655" t="s">
        <v>65</v>
      </c>
      <c r="Q3655">
        <v>66.155782147199531</v>
      </c>
    </row>
    <row r="3656" spans="1:17" x14ac:dyDescent="0.35">
      <c r="A3656" t="s">
        <v>23</v>
      </c>
      <c r="B3656" t="s">
        <v>66</v>
      </c>
      <c r="Q3656">
        <v>44.19002407996912</v>
      </c>
    </row>
    <row r="3657" spans="1:17" x14ac:dyDescent="0.35">
      <c r="A3657" t="s">
        <v>24</v>
      </c>
      <c r="B3657" t="s">
        <v>72</v>
      </c>
      <c r="Q3657">
        <v>16.903035916334531</v>
      </c>
    </row>
    <row r="3658" spans="1:17" x14ac:dyDescent="0.35">
      <c r="A3658" t="s">
        <v>24</v>
      </c>
      <c r="B3658" t="s">
        <v>61</v>
      </c>
      <c r="Q3658">
        <v>23.371115071638357</v>
      </c>
    </row>
    <row r="3659" spans="1:17" x14ac:dyDescent="0.35">
      <c r="A3659" t="s">
        <v>24</v>
      </c>
      <c r="B3659" t="s">
        <v>62</v>
      </c>
      <c r="Q3659">
        <v>33.39565670006629</v>
      </c>
    </row>
    <row r="3660" spans="1:17" x14ac:dyDescent="0.35">
      <c r="A3660" t="s">
        <v>24</v>
      </c>
      <c r="B3660" t="s">
        <v>63</v>
      </c>
      <c r="Q3660">
        <v>50.70759091924193</v>
      </c>
    </row>
    <row r="3661" spans="1:17" x14ac:dyDescent="0.35">
      <c r="A3661" t="s">
        <v>24</v>
      </c>
      <c r="B3661" t="s">
        <v>64</v>
      </c>
      <c r="Q3661">
        <v>40.599418854971177</v>
      </c>
    </row>
    <row r="3662" spans="1:17" x14ac:dyDescent="0.35">
      <c r="A3662" t="s">
        <v>24</v>
      </c>
      <c r="B3662" t="s">
        <v>65</v>
      </c>
      <c r="Q3662">
        <v>47.600228053537002</v>
      </c>
    </row>
    <row r="3663" spans="1:17" x14ac:dyDescent="0.35">
      <c r="A3663" t="s">
        <v>24</v>
      </c>
      <c r="B3663" t="s">
        <v>66</v>
      </c>
      <c r="Q3663">
        <v>28.663355144442562</v>
      </c>
    </row>
    <row r="3664" spans="1:17" x14ac:dyDescent="0.35">
      <c r="A3664" t="s">
        <v>25</v>
      </c>
      <c r="B3664" t="s">
        <v>72</v>
      </c>
      <c r="Q3664">
        <v>26.946676646599187</v>
      </c>
    </row>
    <row r="3665" spans="1:17" x14ac:dyDescent="0.35">
      <c r="A3665" t="s">
        <v>25</v>
      </c>
      <c r="B3665" t="s">
        <v>61</v>
      </c>
      <c r="Q3665">
        <v>32.722406293296572</v>
      </c>
    </row>
    <row r="3666" spans="1:17" x14ac:dyDescent="0.35">
      <c r="A3666" t="s">
        <v>25</v>
      </c>
      <c r="B3666" t="s">
        <v>62</v>
      </c>
      <c r="Q3666">
        <v>55.368952514276629</v>
      </c>
    </row>
    <row r="3667" spans="1:17" x14ac:dyDescent="0.35">
      <c r="A3667" t="s">
        <v>25</v>
      </c>
      <c r="B3667" t="s">
        <v>63</v>
      </c>
      <c r="Q3667">
        <v>79.443749541501873</v>
      </c>
    </row>
    <row r="3668" spans="1:17" x14ac:dyDescent="0.35">
      <c r="A3668" t="s">
        <v>25</v>
      </c>
      <c r="B3668" t="s">
        <v>64</v>
      </c>
      <c r="Q3668">
        <v>65.127059655843269</v>
      </c>
    </row>
    <row r="3669" spans="1:17" x14ac:dyDescent="0.35">
      <c r="A3669" t="s">
        <v>25</v>
      </c>
      <c r="B3669" t="s">
        <v>65</v>
      </c>
      <c r="Q3669">
        <v>74.683017165920944</v>
      </c>
    </row>
    <row r="3670" spans="1:17" x14ac:dyDescent="0.35">
      <c r="A3670" t="s">
        <v>25</v>
      </c>
      <c r="B3670" t="s">
        <v>66</v>
      </c>
      <c r="Q3670">
        <v>47.841052864297488</v>
      </c>
    </row>
    <row r="3671" spans="1:17" x14ac:dyDescent="0.35">
      <c r="A3671" t="s">
        <v>26</v>
      </c>
      <c r="B3671" t="s">
        <v>72</v>
      </c>
      <c r="Q3671">
        <v>41.941348033957382</v>
      </c>
    </row>
    <row r="3672" spans="1:17" x14ac:dyDescent="0.35">
      <c r="A3672" t="s">
        <v>26</v>
      </c>
      <c r="B3672" t="s">
        <v>61</v>
      </c>
      <c r="Q3672">
        <v>45.393953181477784</v>
      </c>
    </row>
    <row r="3673" spans="1:17" x14ac:dyDescent="0.35">
      <c r="A3673" t="s">
        <v>26</v>
      </c>
      <c r="B3673" t="s">
        <v>62</v>
      </c>
      <c r="Q3673">
        <v>88.779549114027887</v>
      </c>
    </row>
    <row r="3674" spans="1:17" x14ac:dyDescent="0.35">
      <c r="A3674" t="s">
        <v>26</v>
      </c>
      <c r="B3674" t="s">
        <v>63</v>
      </c>
      <c r="Q3674">
        <v>121.94917352186415</v>
      </c>
    </row>
    <row r="3675" spans="1:17" x14ac:dyDescent="0.35">
      <c r="A3675" t="s">
        <v>26</v>
      </c>
      <c r="B3675" t="s">
        <v>64</v>
      </c>
      <c r="Q3675">
        <v>101.86044816561902</v>
      </c>
    </row>
    <row r="3676" spans="1:17" x14ac:dyDescent="0.35">
      <c r="A3676" t="s">
        <v>26</v>
      </c>
      <c r="B3676" t="s">
        <v>65</v>
      </c>
      <c r="Q3676">
        <v>114.77490989779187</v>
      </c>
    </row>
    <row r="3677" spans="1:17" x14ac:dyDescent="0.35">
      <c r="A3677" t="s">
        <v>26</v>
      </c>
      <c r="B3677" t="s">
        <v>66</v>
      </c>
      <c r="Q3677">
        <v>77.082589075535651</v>
      </c>
    </row>
    <row r="3678" spans="1:17" x14ac:dyDescent="0.35">
      <c r="A3678" t="s">
        <v>27</v>
      </c>
      <c r="B3678" t="s">
        <v>72</v>
      </c>
      <c r="Q3678">
        <v>27.456809181798583</v>
      </c>
    </row>
    <row r="3679" spans="1:17" x14ac:dyDescent="0.35">
      <c r="A3679" t="s">
        <v>27</v>
      </c>
      <c r="B3679" t="s">
        <v>61</v>
      </c>
      <c r="Q3679">
        <v>30.34176736087441</v>
      </c>
    </row>
    <row r="3680" spans="1:17" x14ac:dyDescent="0.35">
      <c r="A3680" t="s">
        <v>27</v>
      </c>
      <c r="B3680" t="s">
        <v>62</v>
      </c>
      <c r="Q3680">
        <v>57.825971666177665</v>
      </c>
    </row>
    <row r="3681" spans="1:17" x14ac:dyDescent="0.35">
      <c r="A3681" t="s">
        <v>27</v>
      </c>
      <c r="B3681" t="s">
        <v>63</v>
      </c>
      <c r="Q3681">
        <v>80.025736884205898</v>
      </c>
    </row>
    <row r="3682" spans="1:17" x14ac:dyDescent="0.35">
      <c r="A3682" t="s">
        <v>27</v>
      </c>
      <c r="B3682" t="s">
        <v>64</v>
      </c>
      <c r="Q3682">
        <v>66.627094267923752</v>
      </c>
    </row>
    <row r="3683" spans="1:17" x14ac:dyDescent="0.35">
      <c r="A3683" t="s">
        <v>27</v>
      </c>
      <c r="B3683" t="s">
        <v>65</v>
      </c>
      <c r="Q3683">
        <v>75.302538450309399</v>
      </c>
    </row>
    <row r="3684" spans="1:17" x14ac:dyDescent="0.35">
      <c r="A3684" t="s">
        <v>27</v>
      </c>
      <c r="B3684" t="s">
        <v>66</v>
      </c>
      <c r="Q3684">
        <v>50.166338620234427</v>
      </c>
    </row>
    <row r="3685" spans="1:17" x14ac:dyDescent="0.35">
      <c r="A3685" t="s">
        <v>28</v>
      </c>
      <c r="B3685" t="s">
        <v>72</v>
      </c>
      <c r="Q3685">
        <v>22.179817273706053</v>
      </c>
    </row>
    <row r="3686" spans="1:17" x14ac:dyDescent="0.35">
      <c r="A3686" t="s">
        <v>28</v>
      </c>
      <c r="B3686" t="s">
        <v>61</v>
      </c>
      <c r="Q3686">
        <v>22.963239057885989</v>
      </c>
    </row>
    <row r="3687" spans="1:17" x14ac:dyDescent="0.35">
      <c r="A3687" t="s">
        <v>28</v>
      </c>
      <c r="B3687" t="s">
        <v>62</v>
      </c>
      <c r="Q3687">
        <v>47.438741748310846</v>
      </c>
    </row>
    <row r="3688" spans="1:17" x14ac:dyDescent="0.35">
      <c r="A3688" t="s">
        <v>28</v>
      </c>
      <c r="B3688" t="s">
        <v>63</v>
      </c>
      <c r="Q3688">
        <v>64.169956860199449</v>
      </c>
    </row>
    <row r="3689" spans="1:17" x14ac:dyDescent="0.35">
      <c r="A3689" t="s">
        <v>28</v>
      </c>
      <c r="B3689" t="s">
        <v>64</v>
      </c>
      <c r="Q3689">
        <v>53.959605271082516</v>
      </c>
    </row>
    <row r="3690" spans="1:17" x14ac:dyDescent="0.35">
      <c r="A3690" t="s">
        <v>28</v>
      </c>
      <c r="B3690" t="s">
        <v>65</v>
      </c>
      <c r="Q3690">
        <v>60.42035218970026</v>
      </c>
    </row>
    <row r="3691" spans="1:17" x14ac:dyDescent="0.35">
      <c r="A3691" t="s">
        <v>28</v>
      </c>
      <c r="B3691" t="s">
        <v>66</v>
      </c>
      <c r="Q3691">
        <v>41.256790717790111</v>
      </c>
    </row>
    <row r="3692" spans="1:17" x14ac:dyDescent="0.35">
      <c r="A3692" t="s">
        <v>29</v>
      </c>
      <c r="B3692" t="s">
        <v>72</v>
      </c>
      <c r="Q3692">
        <v>36.705552044142443</v>
      </c>
    </row>
    <row r="3693" spans="1:17" x14ac:dyDescent="0.35">
      <c r="A3693" t="s">
        <v>29</v>
      </c>
      <c r="B3693" t="s">
        <v>61</v>
      </c>
      <c r="Q3693">
        <v>39.683227638049097</v>
      </c>
    </row>
    <row r="3694" spans="1:17" x14ac:dyDescent="0.35">
      <c r="A3694" t="s">
        <v>29</v>
      </c>
      <c r="B3694" t="s">
        <v>62</v>
      </c>
      <c r="Q3694">
        <v>77.71727707797163</v>
      </c>
    </row>
    <row r="3695" spans="1:17" x14ac:dyDescent="0.35">
      <c r="A3695" t="s">
        <v>29</v>
      </c>
      <c r="B3695" t="s">
        <v>63</v>
      </c>
      <c r="Q3695">
        <v>106.71201230861257</v>
      </c>
    </row>
    <row r="3696" spans="1:17" x14ac:dyDescent="0.35">
      <c r="A3696" t="s">
        <v>29</v>
      </c>
      <c r="B3696" t="s">
        <v>64</v>
      </c>
      <c r="Q3696">
        <v>89.148493208206574</v>
      </c>
    </row>
    <row r="3697" spans="1:20" x14ac:dyDescent="0.35">
      <c r="A3697" t="s">
        <v>29</v>
      </c>
      <c r="B3697" t="s">
        <v>65</v>
      </c>
      <c r="Q3697">
        <v>100.43522492286586</v>
      </c>
    </row>
    <row r="3698" spans="1:20" x14ac:dyDescent="0.35">
      <c r="A3698" t="s">
        <v>29</v>
      </c>
      <c r="B3698" t="s">
        <v>66</v>
      </c>
      <c r="Q3698">
        <v>67.48067817152112</v>
      </c>
    </row>
    <row r="3699" spans="1:20" x14ac:dyDescent="0.35">
      <c r="A3699" t="s">
        <v>2</v>
      </c>
      <c r="B3699" t="s">
        <v>72</v>
      </c>
      <c r="T3699">
        <v>512.13218606040073</v>
      </c>
    </row>
    <row r="3700" spans="1:20" x14ac:dyDescent="0.35">
      <c r="A3700" t="s">
        <v>2</v>
      </c>
      <c r="B3700" t="s">
        <v>61</v>
      </c>
      <c r="T3700">
        <v>605.8788527270674</v>
      </c>
    </row>
    <row r="3701" spans="1:20" x14ac:dyDescent="0.35">
      <c r="A3701" t="s">
        <v>2</v>
      </c>
      <c r="B3701" t="s">
        <v>62</v>
      </c>
      <c r="T3701">
        <v>1120.572837518944</v>
      </c>
    </row>
    <row r="3702" spans="1:20" x14ac:dyDescent="0.35">
      <c r="A3702" t="s">
        <v>2</v>
      </c>
      <c r="B3702" t="s">
        <v>63</v>
      </c>
      <c r="T3702">
        <v>1465.1854438883104</v>
      </c>
    </row>
    <row r="3703" spans="1:20" x14ac:dyDescent="0.35">
      <c r="A3703" t="s">
        <v>2</v>
      </c>
      <c r="B3703" t="s">
        <v>64</v>
      </c>
      <c r="T3703">
        <v>1250.7077736830702</v>
      </c>
    </row>
    <row r="3704" spans="1:20" x14ac:dyDescent="0.35">
      <c r="A3704" t="s">
        <v>2</v>
      </c>
      <c r="B3704" t="s">
        <v>65</v>
      </c>
      <c r="T3704">
        <v>1380.8916109777506</v>
      </c>
    </row>
    <row r="3705" spans="1:20" x14ac:dyDescent="0.35">
      <c r="A3705" t="s">
        <v>2</v>
      </c>
      <c r="B3705" t="s">
        <v>66</v>
      </c>
      <c r="T3705">
        <v>978.02442320079115</v>
      </c>
    </row>
    <row r="3706" spans="1:20" x14ac:dyDescent="0.35">
      <c r="A3706" t="s">
        <v>2</v>
      </c>
      <c r="B3706" t="s">
        <v>47</v>
      </c>
      <c r="T3706">
        <v>7313.3931280563347</v>
      </c>
    </row>
    <row r="3707" spans="1:20" x14ac:dyDescent="0.35">
      <c r="A3707" t="s">
        <v>3</v>
      </c>
      <c r="B3707" t="s">
        <v>72</v>
      </c>
      <c r="T3707">
        <v>786.68932131673239</v>
      </c>
    </row>
    <row r="3708" spans="1:20" x14ac:dyDescent="0.35">
      <c r="A3708" t="s">
        <v>3</v>
      </c>
      <c r="B3708" t="s">
        <v>61</v>
      </c>
      <c r="T3708">
        <v>1055.2893213167322</v>
      </c>
    </row>
    <row r="3709" spans="1:20" x14ac:dyDescent="0.35">
      <c r="A3709" t="s">
        <v>3</v>
      </c>
      <c r="B3709" t="s">
        <v>62</v>
      </c>
      <c r="T3709">
        <v>1743.537069796422</v>
      </c>
    </row>
    <row r="3710" spans="1:20" x14ac:dyDescent="0.35">
      <c r="A3710" t="s">
        <v>3</v>
      </c>
      <c r="B3710" t="s">
        <v>63</v>
      </c>
      <c r="T3710">
        <v>2236.1396919947761</v>
      </c>
    </row>
    <row r="3711" spans="1:20" x14ac:dyDescent="0.35">
      <c r="A3711" t="s">
        <v>3</v>
      </c>
      <c r="B3711" t="s">
        <v>64</v>
      </c>
      <c r="T3711">
        <v>1925.4321638602196</v>
      </c>
    </row>
    <row r="3712" spans="1:20" x14ac:dyDescent="0.35">
      <c r="A3712" t="s">
        <v>3</v>
      </c>
      <c r="B3712" t="s">
        <v>65</v>
      </c>
      <c r="T3712">
        <v>2108.6687531662528</v>
      </c>
    </row>
    <row r="3713" spans="1:20" x14ac:dyDescent="0.35">
      <c r="A3713" t="s">
        <v>3</v>
      </c>
      <c r="B3713" t="s">
        <v>66</v>
      </c>
      <c r="T3713">
        <v>1524.7375858002661</v>
      </c>
    </row>
    <row r="3714" spans="1:20" x14ac:dyDescent="0.35">
      <c r="A3714" t="s">
        <v>3</v>
      </c>
      <c r="B3714" t="s">
        <v>47</v>
      </c>
      <c r="T3714">
        <v>11380.493907251403</v>
      </c>
    </row>
    <row r="3715" spans="1:20" x14ac:dyDescent="0.35">
      <c r="A3715" t="s">
        <v>4</v>
      </c>
      <c r="B3715" t="s">
        <v>72</v>
      </c>
      <c r="T3715">
        <v>315.80029887523727</v>
      </c>
    </row>
    <row r="3716" spans="1:20" x14ac:dyDescent="0.35">
      <c r="A3716" t="s">
        <v>4</v>
      </c>
      <c r="B3716" t="s">
        <v>61</v>
      </c>
      <c r="T3716">
        <v>721.33363220857063</v>
      </c>
    </row>
    <row r="3717" spans="1:20" x14ac:dyDescent="0.35">
      <c r="A3717" t="s">
        <v>4</v>
      </c>
      <c r="B3717" t="s">
        <v>62</v>
      </c>
      <c r="T3717">
        <v>752.99618536486923</v>
      </c>
    </row>
    <row r="3718" spans="1:20" x14ac:dyDescent="0.35">
      <c r="A3718" t="s">
        <v>4</v>
      </c>
      <c r="B3718" t="s">
        <v>63</v>
      </c>
      <c r="T3718">
        <v>862.90928449692228</v>
      </c>
    </row>
    <row r="3719" spans="1:20" x14ac:dyDescent="0.35">
      <c r="A3719" t="s">
        <v>4</v>
      </c>
      <c r="B3719" t="s">
        <v>64</v>
      </c>
      <c r="T3719">
        <v>782.99056010437437</v>
      </c>
    </row>
    <row r="3720" spans="1:20" x14ac:dyDescent="0.35">
      <c r="A3720" t="s">
        <v>4</v>
      </c>
      <c r="B3720" t="s">
        <v>65</v>
      </c>
      <c r="T3720">
        <v>816.54935067466499</v>
      </c>
    </row>
    <row r="3721" spans="1:20" x14ac:dyDescent="0.35">
      <c r="A3721" t="s">
        <v>4</v>
      </c>
      <c r="B3721" t="s">
        <v>66</v>
      </c>
      <c r="T3721">
        <v>665.56979442376075</v>
      </c>
    </row>
    <row r="3722" spans="1:20" x14ac:dyDescent="0.35">
      <c r="A3722" t="s">
        <v>4</v>
      </c>
      <c r="B3722" t="s">
        <v>47</v>
      </c>
      <c r="T3722">
        <v>4918.1491061483994</v>
      </c>
    </row>
    <row r="3723" spans="1:20" x14ac:dyDescent="0.35">
      <c r="A3723" t="s">
        <v>5</v>
      </c>
      <c r="B3723" t="s">
        <v>72</v>
      </c>
      <c r="T3723">
        <v>198.60388332457524</v>
      </c>
    </row>
    <row r="3724" spans="1:20" x14ac:dyDescent="0.35">
      <c r="A3724" t="s">
        <v>5</v>
      </c>
      <c r="B3724" t="s">
        <v>61</v>
      </c>
      <c r="T3724">
        <v>402.95054999124187</v>
      </c>
    </row>
    <row r="3725" spans="1:20" x14ac:dyDescent="0.35">
      <c r="A3725" t="s">
        <v>5</v>
      </c>
      <c r="B3725" t="s">
        <v>62</v>
      </c>
      <c r="T3725">
        <v>464.51313209638192</v>
      </c>
    </row>
    <row r="3726" spans="1:20" x14ac:dyDescent="0.35">
      <c r="A3726" t="s">
        <v>5</v>
      </c>
      <c r="B3726" t="s">
        <v>63</v>
      </c>
      <c r="T3726">
        <v>548.59120030607369</v>
      </c>
    </row>
    <row r="3727" spans="1:20" x14ac:dyDescent="0.35">
      <c r="A3727" t="s">
        <v>5</v>
      </c>
      <c r="B3727" t="s">
        <v>64</v>
      </c>
      <c r="T3727">
        <v>490.70174444602071</v>
      </c>
    </row>
    <row r="3728" spans="1:20" x14ac:dyDescent="0.35">
      <c r="A3728" t="s">
        <v>5</v>
      </c>
      <c r="B3728" t="s">
        <v>65</v>
      </c>
      <c r="T3728">
        <v>518.61677997453364</v>
      </c>
    </row>
    <row r="3729" spans="1:20" x14ac:dyDescent="0.35">
      <c r="A3729" t="s">
        <v>5</v>
      </c>
      <c r="B3729" t="s">
        <v>66</v>
      </c>
      <c r="T3729">
        <v>409.46232693688904</v>
      </c>
    </row>
    <row r="3730" spans="1:20" x14ac:dyDescent="0.35">
      <c r="A3730" t="s">
        <v>5</v>
      </c>
      <c r="B3730" t="s">
        <v>47</v>
      </c>
      <c r="T3730">
        <v>3033.4396170757159</v>
      </c>
    </row>
    <row r="3731" spans="1:20" x14ac:dyDescent="0.35">
      <c r="A3731" t="s">
        <v>6</v>
      </c>
      <c r="B3731" t="s">
        <v>72</v>
      </c>
      <c r="T3731">
        <v>42.225467032553162</v>
      </c>
    </row>
    <row r="3732" spans="1:20" x14ac:dyDescent="0.35">
      <c r="A3732" t="s">
        <v>6</v>
      </c>
      <c r="B3732" t="s">
        <v>61</v>
      </c>
      <c r="T3732">
        <v>63.292133699219832</v>
      </c>
    </row>
    <row r="3733" spans="1:20" x14ac:dyDescent="0.35">
      <c r="A3733" t="s">
        <v>6</v>
      </c>
      <c r="B3733" t="s">
        <v>62</v>
      </c>
      <c r="T3733">
        <v>94.769956872191855</v>
      </c>
    </row>
    <row r="3734" spans="1:20" x14ac:dyDescent="0.35">
      <c r="A3734" t="s">
        <v>6</v>
      </c>
      <c r="B3734" t="s">
        <v>63</v>
      </c>
      <c r="T3734">
        <v>119.24854655912694</v>
      </c>
    </row>
    <row r="3735" spans="1:20" x14ac:dyDescent="0.35">
      <c r="A3735" t="s">
        <v>6</v>
      </c>
      <c r="B3735" t="s">
        <v>64</v>
      </c>
      <c r="T3735">
        <v>103.57218682424096</v>
      </c>
    </row>
    <row r="3736" spans="1:20" x14ac:dyDescent="0.35">
      <c r="A3736" t="s">
        <v>6</v>
      </c>
      <c r="B3736" t="s">
        <v>65</v>
      </c>
      <c r="T3736">
        <v>112.51400742206501</v>
      </c>
    </row>
    <row r="3737" spans="1:20" x14ac:dyDescent="0.35">
      <c r="A3737" t="s">
        <v>6</v>
      </c>
      <c r="B3737" t="s">
        <v>66</v>
      </c>
      <c r="T3737">
        <v>83.034989737854261</v>
      </c>
    </row>
    <row r="3738" spans="1:20" x14ac:dyDescent="0.35">
      <c r="A3738" t="s">
        <v>6</v>
      </c>
      <c r="B3738" t="s">
        <v>47</v>
      </c>
      <c r="T3738">
        <v>618.65728814725196</v>
      </c>
    </row>
    <row r="3739" spans="1:20" x14ac:dyDescent="0.35">
      <c r="A3739" t="s">
        <v>7</v>
      </c>
      <c r="B3739" t="s">
        <v>72</v>
      </c>
      <c r="T3739">
        <v>547.93081417472126</v>
      </c>
    </row>
    <row r="3740" spans="1:20" x14ac:dyDescent="0.35">
      <c r="A3740" t="s">
        <v>7</v>
      </c>
      <c r="B3740" t="s">
        <v>61</v>
      </c>
      <c r="T3740">
        <v>800.73081417472122</v>
      </c>
    </row>
    <row r="3741" spans="1:20" x14ac:dyDescent="0.35">
      <c r="A3741" t="s">
        <v>7</v>
      </c>
      <c r="B3741" t="s">
        <v>62</v>
      </c>
      <c r="T3741">
        <v>1226.0967636518681</v>
      </c>
    </row>
    <row r="3742" spans="1:20" x14ac:dyDescent="0.35">
      <c r="A3742" t="s">
        <v>7</v>
      </c>
      <c r="B3742" t="s">
        <v>63</v>
      </c>
      <c r="T3742">
        <v>1549.8065625697723</v>
      </c>
    </row>
    <row r="3743" spans="1:20" x14ac:dyDescent="0.35">
      <c r="A3743" t="s">
        <v>7</v>
      </c>
      <c r="B3743" t="s">
        <v>64</v>
      </c>
      <c r="T3743">
        <v>1343.2895871360572</v>
      </c>
    </row>
    <row r="3744" spans="1:20" x14ac:dyDescent="0.35">
      <c r="A3744" t="s">
        <v>7</v>
      </c>
      <c r="B3744" t="s">
        <v>65</v>
      </c>
      <c r="T3744">
        <v>1462.0847341820331</v>
      </c>
    </row>
    <row r="3745" spans="1:20" x14ac:dyDescent="0.35">
      <c r="A3745" t="s">
        <v>7</v>
      </c>
      <c r="B3745" t="s">
        <v>66</v>
      </c>
      <c r="T3745">
        <v>1073.7921132916026</v>
      </c>
    </row>
    <row r="3746" spans="1:20" x14ac:dyDescent="0.35">
      <c r="A3746" t="s">
        <v>7</v>
      </c>
      <c r="B3746" t="s">
        <v>47</v>
      </c>
      <c r="T3746">
        <v>8003.7313891807744</v>
      </c>
    </row>
    <row r="3747" spans="1:20" x14ac:dyDescent="0.35">
      <c r="A3747" t="s">
        <v>8</v>
      </c>
      <c r="B3747" t="s">
        <v>72</v>
      </c>
      <c r="T3747">
        <v>232.71234937199475</v>
      </c>
    </row>
    <row r="3748" spans="1:20" x14ac:dyDescent="0.35">
      <c r="A3748" t="s">
        <v>8</v>
      </c>
      <c r="B3748" t="s">
        <v>61</v>
      </c>
      <c r="T3748">
        <v>285.3790160386614</v>
      </c>
    </row>
    <row r="3749" spans="1:20" x14ac:dyDescent="0.35">
      <c r="A3749" t="s">
        <v>8</v>
      </c>
      <c r="B3749" t="s">
        <v>62</v>
      </c>
      <c r="T3749">
        <v>510.98259205432038</v>
      </c>
    </row>
    <row r="3750" spans="1:20" x14ac:dyDescent="0.35">
      <c r="A3750" t="s">
        <v>8</v>
      </c>
      <c r="B3750" t="s">
        <v>63</v>
      </c>
      <c r="T3750">
        <v>664.60380602742487</v>
      </c>
    </row>
    <row r="3751" spans="1:20" x14ac:dyDescent="0.35">
      <c r="A3751" t="s">
        <v>8</v>
      </c>
      <c r="B3751" t="s">
        <v>64</v>
      </c>
      <c r="T3751">
        <v>568.66075189850267</v>
      </c>
    </row>
    <row r="3752" spans="1:20" x14ac:dyDescent="0.35">
      <c r="A3752" t="s">
        <v>8</v>
      </c>
      <c r="B3752" t="s">
        <v>65</v>
      </c>
      <c r="T3752">
        <v>626.46346571446759</v>
      </c>
    </row>
    <row r="3753" spans="1:20" x14ac:dyDescent="0.35">
      <c r="A3753" t="s">
        <v>8</v>
      </c>
      <c r="B3753" t="s">
        <v>66</v>
      </c>
      <c r="T3753">
        <v>446.22247272853872</v>
      </c>
    </row>
    <row r="3754" spans="1:20" x14ac:dyDescent="0.35">
      <c r="A3754" t="s">
        <v>8</v>
      </c>
      <c r="B3754" t="s">
        <v>47</v>
      </c>
      <c r="T3754">
        <v>3335.0244538339102</v>
      </c>
    </row>
    <row r="3755" spans="1:20" x14ac:dyDescent="0.35">
      <c r="A3755" t="s">
        <v>9</v>
      </c>
      <c r="B3755" t="s">
        <v>72</v>
      </c>
      <c r="T3755">
        <v>57.483746089222414</v>
      </c>
    </row>
    <row r="3756" spans="1:20" x14ac:dyDescent="0.35">
      <c r="A3756" t="s">
        <v>9</v>
      </c>
      <c r="B3756" t="s">
        <v>61</v>
      </c>
      <c r="T3756">
        <v>88.030412755889074</v>
      </c>
    </row>
    <row r="3757" spans="1:20" x14ac:dyDescent="0.35">
      <c r="A3757" t="s">
        <v>9</v>
      </c>
      <c r="B3757" t="s">
        <v>62</v>
      </c>
      <c r="T3757">
        <v>129.34834277256425</v>
      </c>
    </row>
    <row r="3758" spans="1:20" x14ac:dyDescent="0.35">
      <c r="A3758" t="s">
        <v>9</v>
      </c>
      <c r="B3758" t="s">
        <v>63</v>
      </c>
      <c r="T3758">
        <v>162.12136878584056</v>
      </c>
    </row>
    <row r="3759" spans="1:20" x14ac:dyDescent="0.35">
      <c r="A3759" t="s">
        <v>9</v>
      </c>
      <c r="B3759" t="s">
        <v>64</v>
      </c>
      <c r="T3759">
        <v>141.06139664765345</v>
      </c>
    </row>
    <row r="3760" spans="1:20" x14ac:dyDescent="0.35">
      <c r="A3760" t="s">
        <v>9</v>
      </c>
      <c r="B3760" t="s">
        <v>65</v>
      </c>
      <c r="T3760">
        <v>152.98346382742488</v>
      </c>
    </row>
    <row r="3761" spans="1:20" x14ac:dyDescent="0.35">
      <c r="A3761" t="s">
        <v>9</v>
      </c>
      <c r="B3761" t="s">
        <v>66</v>
      </c>
      <c r="T3761">
        <v>113.3754635632052</v>
      </c>
    </row>
    <row r="3762" spans="1:20" x14ac:dyDescent="0.35">
      <c r="A3762" t="s">
        <v>9</v>
      </c>
      <c r="B3762" t="s">
        <v>47</v>
      </c>
      <c r="T3762">
        <v>844.40419444179986</v>
      </c>
    </row>
    <row r="3763" spans="1:20" x14ac:dyDescent="0.35">
      <c r="A3763" t="s">
        <v>10</v>
      </c>
      <c r="B3763" t="s">
        <v>72</v>
      </c>
      <c r="T3763">
        <v>245.08159478569718</v>
      </c>
    </row>
    <row r="3764" spans="1:20" x14ac:dyDescent="0.35">
      <c r="A3764" t="s">
        <v>10</v>
      </c>
      <c r="B3764" t="s">
        <v>61</v>
      </c>
      <c r="T3764">
        <v>338.82826145236385</v>
      </c>
    </row>
    <row r="3765" spans="1:20" x14ac:dyDescent="0.35">
      <c r="A3765" t="s">
        <v>10</v>
      </c>
      <c r="B3765" t="s">
        <v>62</v>
      </c>
      <c r="T3765">
        <v>544.96898725473886</v>
      </c>
    </row>
    <row r="3766" spans="1:20" x14ac:dyDescent="0.35">
      <c r="A3766" t="s">
        <v>10</v>
      </c>
      <c r="B3766" t="s">
        <v>63</v>
      </c>
      <c r="T3766">
        <v>695.46175649646148</v>
      </c>
    </row>
    <row r="3767" spans="1:20" x14ac:dyDescent="0.35">
      <c r="A3767" t="s">
        <v>10</v>
      </c>
      <c r="B3767" t="s">
        <v>64</v>
      </c>
      <c r="T3767">
        <v>600.1807329241559</v>
      </c>
    </row>
    <row r="3768" spans="1:20" x14ac:dyDescent="0.35">
      <c r="A3768" t="s">
        <v>10</v>
      </c>
      <c r="B3768" t="s">
        <v>65</v>
      </c>
      <c r="T3768">
        <v>655.91273497981877</v>
      </c>
    </row>
    <row r="3769" spans="1:20" x14ac:dyDescent="0.35">
      <c r="A3769" t="s">
        <v>10</v>
      </c>
      <c r="B3769" t="s">
        <v>66</v>
      </c>
      <c r="T3769">
        <v>476.81893274823801</v>
      </c>
    </row>
    <row r="3770" spans="1:20" x14ac:dyDescent="0.35">
      <c r="A3770" t="s">
        <v>10</v>
      </c>
      <c r="B3770" t="s">
        <v>47</v>
      </c>
      <c r="T3770">
        <v>3557.2530006414736</v>
      </c>
    </row>
    <row r="3771" spans="1:20" x14ac:dyDescent="0.35">
      <c r="A3771" t="s">
        <v>11</v>
      </c>
      <c r="B3771" t="s">
        <v>72</v>
      </c>
      <c r="T3771">
        <v>3231.2374439988944</v>
      </c>
    </row>
    <row r="3772" spans="1:20" x14ac:dyDescent="0.35">
      <c r="A3772" t="s">
        <v>11</v>
      </c>
      <c r="B3772" t="s">
        <v>61</v>
      </c>
      <c r="T3772">
        <v>4409.9174439988947</v>
      </c>
    </row>
    <row r="3773" spans="1:20" x14ac:dyDescent="0.35">
      <c r="A3773" t="s">
        <v>11</v>
      </c>
      <c r="B3773" t="s">
        <v>62</v>
      </c>
      <c r="T3773">
        <v>7174.8334784723811</v>
      </c>
    </row>
    <row r="3774" spans="1:20" x14ac:dyDescent="0.35">
      <c r="A3774" t="s">
        <v>11</v>
      </c>
      <c r="B3774" t="s">
        <v>63</v>
      </c>
      <c r="T3774">
        <v>9175.8874827642157</v>
      </c>
    </row>
    <row r="3775" spans="1:20" x14ac:dyDescent="0.35">
      <c r="A3775" t="s">
        <v>11</v>
      </c>
      <c r="B3775" t="s">
        <v>64</v>
      </c>
      <c r="T3775">
        <v>7911.0453441006421</v>
      </c>
    </row>
    <row r="3776" spans="1:20" x14ac:dyDescent="0.35">
      <c r="A3776" t="s">
        <v>11</v>
      </c>
      <c r="B3776" t="s">
        <v>65</v>
      </c>
      <c r="T3776">
        <v>8653.5339753754124</v>
      </c>
    </row>
    <row r="3777" spans="1:20" x14ac:dyDescent="0.35">
      <c r="A3777" t="s">
        <v>11</v>
      </c>
      <c r="B3777" t="s">
        <v>66</v>
      </c>
      <c r="T3777">
        <v>6276.2422554446293</v>
      </c>
    </row>
    <row r="3778" spans="1:20" x14ac:dyDescent="0.35">
      <c r="A3778" t="s">
        <v>11</v>
      </c>
      <c r="B3778" t="s">
        <v>47</v>
      </c>
      <c r="T3778">
        <v>46832.697424155071</v>
      </c>
    </row>
    <row r="3779" spans="1:20" x14ac:dyDescent="0.35">
      <c r="A3779" t="s">
        <v>12</v>
      </c>
      <c r="B3779" t="s">
        <v>72</v>
      </c>
      <c r="T3779">
        <v>4559.1306791947191</v>
      </c>
    </row>
    <row r="3780" spans="1:20" x14ac:dyDescent="0.35">
      <c r="A3780" t="s">
        <v>12</v>
      </c>
      <c r="B3780" t="s">
        <v>61</v>
      </c>
      <c r="T3780">
        <v>5420.7573458613861</v>
      </c>
    </row>
    <row r="3781" spans="1:20" x14ac:dyDescent="0.35">
      <c r="A3781" t="s">
        <v>12</v>
      </c>
      <c r="B3781" t="s">
        <v>62</v>
      </c>
      <c r="T3781">
        <v>9980.4510191099744</v>
      </c>
    </row>
    <row r="3782" spans="1:20" x14ac:dyDescent="0.35">
      <c r="A3782" t="s">
        <v>12</v>
      </c>
      <c r="B3782" t="s">
        <v>63</v>
      </c>
      <c r="T3782">
        <v>13040.293510403892</v>
      </c>
    </row>
    <row r="3783" spans="1:20" x14ac:dyDescent="0.35">
      <c r="A3783" t="s">
        <v>12</v>
      </c>
      <c r="B3783" t="s">
        <v>64</v>
      </c>
      <c r="T3783">
        <v>11135.033196290158</v>
      </c>
    </row>
    <row r="3784" spans="1:20" x14ac:dyDescent="0.35">
      <c r="A3784" t="s">
        <v>12</v>
      </c>
      <c r="B3784" t="s">
        <v>65</v>
      </c>
      <c r="T3784">
        <v>12290.325842106104</v>
      </c>
    </row>
    <row r="3785" spans="1:20" x14ac:dyDescent="0.35">
      <c r="A3785" t="s">
        <v>12</v>
      </c>
      <c r="B3785" t="s">
        <v>66</v>
      </c>
      <c r="T3785">
        <v>8711.4857943784336</v>
      </c>
    </row>
    <row r="3786" spans="1:20" x14ac:dyDescent="0.35">
      <c r="A3786" t="s">
        <v>12</v>
      </c>
      <c r="B3786" t="s">
        <v>47</v>
      </c>
      <c r="T3786">
        <v>65137.477387344668</v>
      </c>
    </row>
    <row r="3787" spans="1:20" x14ac:dyDescent="0.35">
      <c r="A3787" t="s">
        <v>13</v>
      </c>
      <c r="B3787" t="s">
        <v>72</v>
      </c>
      <c r="T3787">
        <v>509.61162674898094</v>
      </c>
    </row>
    <row r="3788" spans="1:20" x14ac:dyDescent="0.35">
      <c r="A3788" t="s">
        <v>13</v>
      </c>
      <c r="B3788" t="s">
        <v>61</v>
      </c>
      <c r="T3788">
        <v>1091.0516267489809</v>
      </c>
    </row>
    <row r="3789" spans="1:20" x14ac:dyDescent="0.35">
      <c r="A3789" t="s">
        <v>13</v>
      </c>
      <c r="B3789" t="s">
        <v>62</v>
      </c>
      <c r="T3789">
        <v>1202.1078310602834</v>
      </c>
    </row>
    <row r="3790" spans="1:20" x14ac:dyDescent="0.35">
      <c r="A3790" t="s">
        <v>13</v>
      </c>
      <c r="B3790" t="s">
        <v>63</v>
      </c>
      <c r="T3790">
        <v>1401.0058269938374</v>
      </c>
    </row>
    <row r="3791" spans="1:20" x14ac:dyDescent="0.35">
      <c r="A3791" t="s">
        <v>13</v>
      </c>
      <c r="B3791" t="s">
        <v>64</v>
      </c>
      <c r="T3791">
        <v>1261.0562550181319</v>
      </c>
    </row>
    <row r="3792" spans="1:20" x14ac:dyDescent="0.35">
      <c r="A3792" t="s">
        <v>13</v>
      </c>
      <c r="B3792" t="s">
        <v>65</v>
      </c>
      <c r="T3792">
        <v>1325.0149145994128</v>
      </c>
    </row>
    <row r="3793" spans="1:20" x14ac:dyDescent="0.35">
      <c r="A3793" t="s">
        <v>13</v>
      </c>
      <c r="B3793" t="s">
        <v>66</v>
      </c>
      <c r="T3793">
        <v>1060.9270044352775</v>
      </c>
    </row>
    <row r="3794" spans="1:20" x14ac:dyDescent="0.35">
      <c r="A3794" t="s">
        <v>13</v>
      </c>
      <c r="B3794" t="s">
        <v>47</v>
      </c>
      <c r="T3794">
        <v>7850.7750856049042</v>
      </c>
    </row>
    <row r="3795" spans="1:20" x14ac:dyDescent="0.35">
      <c r="A3795" t="s">
        <v>14</v>
      </c>
      <c r="B3795" t="s">
        <v>72</v>
      </c>
      <c r="T3795">
        <v>501.68784576309463</v>
      </c>
    </row>
    <row r="3796" spans="1:20" x14ac:dyDescent="0.35">
      <c r="A3796" t="s">
        <v>14</v>
      </c>
      <c r="B3796" t="s">
        <v>61</v>
      </c>
      <c r="T3796">
        <v>957.78117909642799</v>
      </c>
    </row>
    <row r="3797" spans="1:20" x14ac:dyDescent="0.35">
      <c r="A3797" t="s">
        <v>14</v>
      </c>
      <c r="B3797" t="s">
        <v>62</v>
      </c>
      <c r="T3797">
        <v>1162.676400105343</v>
      </c>
    </row>
    <row r="3798" spans="1:20" x14ac:dyDescent="0.35">
      <c r="A3798" t="s">
        <v>14</v>
      </c>
      <c r="B3798" t="s">
        <v>63</v>
      </c>
      <c r="T3798">
        <v>1392.795152901097</v>
      </c>
    </row>
    <row r="3799" spans="1:20" x14ac:dyDescent="0.35">
      <c r="A3799" t="s">
        <v>14</v>
      </c>
      <c r="B3799" t="s">
        <v>64</v>
      </c>
      <c r="T3799">
        <v>1237.5163063082407</v>
      </c>
    </row>
    <row r="3800" spans="1:20" x14ac:dyDescent="0.35">
      <c r="A3800" t="s">
        <v>14</v>
      </c>
      <c r="B3800" t="s">
        <v>65</v>
      </c>
      <c r="T3800">
        <v>1316.1064179793516</v>
      </c>
    </row>
    <row r="3801" spans="1:20" x14ac:dyDescent="0.35">
      <c r="A3801" t="s">
        <v>14</v>
      </c>
      <c r="B3801" t="s">
        <v>66</v>
      </c>
      <c r="T3801">
        <v>1023.5320663374099</v>
      </c>
    </row>
    <row r="3802" spans="1:20" x14ac:dyDescent="0.35">
      <c r="A3802" t="s">
        <v>14</v>
      </c>
      <c r="B3802" t="s">
        <v>47</v>
      </c>
      <c r="T3802">
        <v>7592.0953684909637</v>
      </c>
    </row>
    <row r="3803" spans="1:20" x14ac:dyDescent="0.35">
      <c r="A3803" t="s">
        <v>15</v>
      </c>
      <c r="B3803" t="s">
        <v>72</v>
      </c>
      <c r="T3803">
        <v>314.77088220924941</v>
      </c>
    </row>
    <row r="3804" spans="1:20" x14ac:dyDescent="0.35">
      <c r="A3804" t="s">
        <v>15</v>
      </c>
      <c r="B3804" t="s">
        <v>61</v>
      </c>
      <c r="T3804">
        <v>422.21088220924941</v>
      </c>
    </row>
    <row r="3805" spans="1:20" x14ac:dyDescent="0.35">
      <c r="A3805" t="s">
        <v>15</v>
      </c>
      <c r="B3805" t="s">
        <v>62</v>
      </c>
      <c r="T3805">
        <v>697.61992323696836</v>
      </c>
    </row>
    <row r="3806" spans="1:20" x14ac:dyDescent="0.35">
      <c r="A3806" t="s">
        <v>15</v>
      </c>
      <c r="B3806" t="s">
        <v>63</v>
      </c>
      <c r="T3806">
        <v>894.7301395997888</v>
      </c>
    </row>
    <row r="3807" spans="1:20" x14ac:dyDescent="0.35">
      <c r="A3807" t="s">
        <v>15</v>
      </c>
      <c r="B3807" t="s">
        <v>64</v>
      </c>
      <c r="T3807">
        <v>770.40465699317338</v>
      </c>
    </row>
    <row r="3808" spans="1:20" x14ac:dyDescent="0.35">
      <c r="A3808" t="s">
        <v>15</v>
      </c>
      <c r="B3808" t="s">
        <v>65</v>
      </c>
      <c r="T3808">
        <v>843.72582089611694</v>
      </c>
    </row>
    <row r="3809" spans="1:20" x14ac:dyDescent="0.35">
      <c r="A3809" t="s">
        <v>15</v>
      </c>
      <c r="B3809" t="s">
        <v>66</v>
      </c>
      <c r="T3809">
        <v>610.07362051198265</v>
      </c>
    </row>
    <row r="3810" spans="1:20" x14ac:dyDescent="0.35">
      <c r="A3810" t="s">
        <v>15</v>
      </c>
      <c r="B3810" t="s">
        <v>47</v>
      </c>
      <c r="T3810">
        <v>4553.5359256565289</v>
      </c>
    </row>
    <row r="3811" spans="1:20" x14ac:dyDescent="0.35">
      <c r="A3811" t="s">
        <v>16</v>
      </c>
      <c r="B3811" t="s">
        <v>72</v>
      </c>
      <c r="T3811">
        <v>2783.544592229493</v>
      </c>
    </row>
    <row r="3812" spans="1:20" x14ac:dyDescent="0.35">
      <c r="A3812" t="s">
        <v>16</v>
      </c>
      <c r="B3812" t="s">
        <v>61</v>
      </c>
      <c r="T3812">
        <v>3922.1979255628266</v>
      </c>
    </row>
    <row r="3813" spans="1:20" x14ac:dyDescent="0.35">
      <c r="A3813" t="s">
        <v>16</v>
      </c>
      <c r="B3813" t="s">
        <v>62</v>
      </c>
      <c r="T3813">
        <v>6202.7335177760378</v>
      </c>
    </row>
    <row r="3814" spans="1:20" x14ac:dyDescent="0.35">
      <c r="A3814" t="s">
        <v>16</v>
      </c>
      <c r="B3814" t="s">
        <v>63</v>
      </c>
      <c r="T3814">
        <v>7890.1672335105441</v>
      </c>
    </row>
    <row r="3815" spans="1:20" x14ac:dyDescent="0.35">
      <c r="A3815" t="s">
        <v>16</v>
      </c>
      <c r="B3815" t="s">
        <v>64</v>
      </c>
      <c r="T3815">
        <v>6819.1260365560202</v>
      </c>
    </row>
    <row r="3816" spans="1:20" x14ac:dyDescent="0.35">
      <c r="A3816" t="s">
        <v>16</v>
      </c>
      <c r="B3816" t="s">
        <v>65</v>
      </c>
      <c r="T3816">
        <v>7442.1786886191721</v>
      </c>
    </row>
    <row r="3817" spans="1:20" x14ac:dyDescent="0.35">
      <c r="A3817" t="s">
        <v>16</v>
      </c>
      <c r="B3817" t="s">
        <v>66</v>
      </c>
      <c r="T3817">
        <v>5428.8116696203624</v>
      </c>
    </row>
    <row r="3818" spans="1:20" x14ac:dyDescent="0.35">
      <c r="A3818" t="s">
        <v>16</v>
      </c>
      <c r="B3818" t="s">
        <v>47</v>
      </c>
      <c r="T3818">
        <v>40488.759663874458</v>
      </c>
    </row>
    <row r="3819" spans="1:20" x14ac:dyDescent="0.35">
      <c r="A3819" t="s">
        <v>17</v>
      </c>
      <c r="B3819" t="s">
        <v>72</v>
      </c>
      <c r="T3819">
        <v>86.041190728593421</v>
      </c>
    </row>
    <row r="3820" spans="1:20" x14ac:dyDescent="0.35">
      <c r="A3820" t="s">
        <v>17</v>
      </c>
      <c r="B3820" t="s">
        <v>61</v>
      </c>
      <c r="T3820">
        <v>160.82785739526008</v>
      </c>
    </row>
    <row r="3821" spans="1:20" x14ac:dyDescent="0.35">
      <c r="A3821" t="s">
        <v>17</v>
      </c>
      <c r="B3821" t="s">
        <v>62</v>
      </c>
      <c r="T3821">
        <v>198.79047128606609</v>
      </c>
    </row>
    <row r="3822" spans="1:20" x14ac:dyDescent="0.35">
      <c r="A3822" t="s">
        <v>17</v>
      </c>
      <c r="B3822" t="s">
        <v>63</v>
      </c>
      <c r="T3822">
        <v>239.27001737083037</v>
      </c>
    </row>
    <row r="3823" spans="1:20" x14ac:dyDescent="0.35">
      <c r="A3823" t="s">
        <v>17</v>
      </c>
      <c r="B3823" t="s">
        <v>64</v>
      </c>
      <c r="T3823">
        <v>212.12217078572331</v>
      </c>
    </row>
    <row r="3824" spans="1:20" x14ac:dyDescent="0.35">
      <c r="A3824" t="s">
        <v>17</v>
      </c>
      <c r="B3824" t="s">
        <v>65</v>
      </c>
      <c r="T3824">
        <v>226.06213121764577</v>
      </c>
    </row>
    <row r="3825" spans="1:20" x14ac:dyDescent="0.35">
      <c r="A3825" t="s">
        <v>17</v>
      </c>
      <c r="B3825" t="s">
        <v>66</v>
      </c>
      <c r="T3825">
        <v>174.92205318885004</v>
      </c>
    </row>
    <row r="3826" spans="1:20" x14ac:dyDescent="0.35">
      <c r="A3826" t="s">
        <v>17</v>
      </c>
      <c r="B3826" t="s">
        <v>47</v>
      </c>
      <c r="T3826">
        <v>1298.035891972969</v>
      </c>
    </row>
    <row r="3827" spans="1:20" x14ac:dyDescent="0.35">
      <c r="A3827" t="s">
        <v>18</v>
      </c>
      <c r="B3827" t="s">
        <v>72</v>
      </c>
      <c r="T3827">
        <v>137.28775151908243</v>
      </c>
    </row>
    <row r="3828" spans="1:20" x14ac:dyDescent="0.35">
      <c r="A3828" t="s">
        <v>18</v>
      </c>
      <c r="B3828" t="s">
        <v>61</v>
      </c>
      <c r="T3828">
        <v>244.72775151908246</v>
      </c>
    </row>
    <row r="3829" spans="1:20" x14ac:dyDescent="0.35">
      <c r="A3829" t="s">
        <v>18</v>
      </c>
      <c r="B3829" t="s">
        <v>62</v>
      </c>
      <c r="T3829">
        <v>315.07078565757394</v>
      </c>
    </row>
    <row r="3830" spans="1:20" x14ac:dyDescent="0.35">
      <c r="A3830" t="s">
        <v>18</v>
      </c>
      <c r="B3830" t="s">
        <v>63</v>
      </c>
      <c r="T3830">
        <v>383.16800767341988</v>
      </c>
    </row>
    <row r="3831" spans="1:20" x14ac:dyDescent="0.35">
      <c r="A3831" t="s">
        <v>18</v>
      </c>
      <c r="B3831" t="s">
        <v>64</v>
      </c>
      <c r="T3831">
        <v>338.0612001171101</v>
      </c>
    </row>
    <row r="3832" spans="1:20" x14ac:dyDescent="0.35">
      <c r="A3832" t="s">
        <v>18</v>
      </c>
      <c r="B3832" t="s">
        <v>65</v>
      </c>
      <c r="T3832">
        <v>361.90130973451352</v>
      </c>
    </row>
    <row r="3833" spans="1:20" x14ac:dyDescent="0.35">
      <c r="A3833" t="s">
        <v>18</v>
      </c>
      <c r="B3833" t="s">
        <v>66</v>
      </c>
      <c r="T3833">
        <v>276.96999718723612</v>
      </c>
    </row>
    <row r="3834" spans="1:20" x14ac:dyDescent="0.35">
      <c r="A3834" t="s">
        <v>18</v>
      </c>
      <c r="B3834" t="s">
        <v>47</v>
      </c>
      <c r="T3834">
        <v>2057.1868034080185</v>
      </c>
    </row>
    <row r="3835" spans="1:20" x14ac:dyDescent="0.35">
      <c r="A3835" t="s">
        <v>19</v>
      </c>
      <c r="B3835" t="s">
        <v>72</v>
      </c>
      <c r="T3835">
        <v>103.45790708504438</v>
      </c>
    </row>
    <row r="3836" spans="1:20" x14ac:dyDescent="0.35">
      <c r="A3836" t="s">
        <v>19</v>
      </c>
      <c r="B3836" t="s">
        <v>61</v>
      </c>
      <c r="T3836">
        <v>113.99124041837771</v>
      </c>
    </row>
    <row r="3837" spans="1:20" x14ac:dyDescent="0.35">
      <c r="A3837" t="s">
        <v>19</v>
      </c>
      <c r="B3837" t="s">
        <v>62</v>
      </c>
      <c r="T3837">
        <v>224.87269239551009</v>
      </c>
    </row>
    <row r="3838" spans="1:20" x14ac:dyDescent="0.35">
      <c r="A3838" t="s">
        <v>19</v>
      </c>
      <c r="B3838" t="s">
        <v>63</v>
      </c>
      <c r="T3838">
        <v>296.96892897094267</v>
      </c>
    </row>
    <row r="3839" spans="1:20" x14ac:dyDescent="0.35">
      <c r="A3839" t="s">
        <v>19</v>
      </c>
      <c r="B3839" t="s">
        <v>64</v>
      </c>
      <c r="T3839">
        <v>252.37640787941493</v>
      </c>
    </row>
    <row r="3840" spans="1:20" x14ac:dyDescent="0.35">
      <c r="A3840" t="s">
        <v>19</v>
      </c>
      <c r="B3840" t="s">
        <v>65</v>
      </c>
      <c r="T3840">
        <v>279.80457607469202</v>
      </c>
    </row>
    <row r="3841" spans="1:20" x14ac:dyDescent="0.35">
      <c r="A3841" t="s">
        <v>19</v>
      </c>
      <c r="B3841" t="s">
        <v>66</v>
      </c>
      <c r="T3841">
        <v>196.06444010478432</v>
      </c>
    </row>
    <row r="3842" spans="1:20" x14ac:dyDescent="0.35">
      <c r="A3842" t="s">
        <v>19</v>
      </c>
      <c r="B3842" t="s">
        <v>47</v>
      </c>
      <c r="T3842">
        <v>1467.5361929287662</v>
      </c>
    </row>
    <row r="3843" spans="1:20" x14ac:dyDescent="0.35">
      <c r="A3843" t="s">
        <v>20</v>
      </c>
      <c r="B3843" t="s">
        <v>72</v>
      </c>
      <c r="T3843">
        <v>12.555247753785933</v>
      </c>
    </row>
    <row r="3844" spans="1:20" x14ac:dyDescent="0.35">
      <c r="A3844" t="s">
        <v>20</v>
      </c>
      <c r="B3844" t="s">
        <v>61</v>
      </c>
      <c r="T3844">
        <v>19.928581087119269</v>
      </c>
    </row>
    <row r="3845" spans="1:20" x14ac:dyDescent="0.35">
      <c r="A3845" t="s">
        <v>20</v>
      </c>
      <c r="B3845" t="s">
        <v>62</v>
      </c>
      <c r="T3845">
        <v>28.376570810263992</v>
      </c>
    </row>
    <row r="3846" spans="1:20" x14ac:dyDescent="0.35">
      <c r="A3846" t="s">
        <v>20</v>
      </c>
      <c r="B3846" t="s">
        <v>63</v>
      </c>
      <c r="T3846">
        <v>35.327688250093139</v>
      </c>
    </row>
    <row r="3847" spans="1:20" x14ac:dyDescent="0.35">
      <c r="A3847" t="s">
        <v>20</v>
      </c>
      <c r="B3847" t="s">
        <v>64</v>
      </c>
      <c r="T3847">
        <v>30.833484000724415</v>
      </c>
    </row>
    <row r="3848" spans="1:20" x14ac:dyDescent="0.35">
      <c r="A3848" t="s">
        <v>20</v>
      </c>
      <c r="B3848" t="s">
        <v>65</v>
      </c>
      <c r="T3848">
        <v>33.343178778458686</v>
      </c>
    </row>
    <row r="3849" spans="1:20" x14ac:dyDescent="0.35">
      <c r="A3849" t="s">
        <v>20</v>
      </c>
      <c r="B3849" t="s">
        <v>66</v>
      </c>
      <c r="T3849">
        <v>24.888829467795286</v>
      </c>
    </row>
    <row r="3850" spans="1:20" x14ac:dyDescent="0.35">
      <c r="A3850" t="s">
        <v>20</v>
      </c>
      <c r="B3850" t="s">
        <v>47</v>
      </c>
      <c r="T3850">
        <v>185.25358014824073</v>
      </c>
    </row>
    <row r="3851" spans="1:20" x14ac:dyDescent="0.35">
      <c r="A3851" t="s">
        <v>21</v>
      </c>
      <c r="B3851" t="s">
        <v>72</v>
      </c>
      <c r="T3851">
        <v>788.94658710421743</v>
      </c>
    </row>
    <row r="3852" spans="1:20" x14ac:dyDescent="0.35">
      <c r="A3852" t="s">
        <v>21</v>
      </c>
      <c r="B3852" t="s">
        <v>61</v>
      </c>
      <c r="T3852">
        <v>905.86658710421739</v>
      </c>
    </row>
    <row r="3853" spans="1:20" x14ac:dyDescent="0.35">
      <c r="A3853" t="s">
        <v>21</v>
      </c>
      <c r="B3853" t="s">
        <v>62</v>
      </c>
      <c r="T3853">
        <v>1721.3540942078107</v>
      </c>
    </row>
    <row r="3854" spans="1:20" x14ac:dyDescent="0.35">
      <c r="A3854" t="s">
        <v>21</v>
      </c>
      <c r="B3854" t="s">
        <v>63</v>
      </c>
      <c r="T3854">
        <v>2260.3471337773067</v>
      </c>
    </row>
    <row r="3855" spans="1:20" x14ac:dyDescent="0.35">
      <c r="A3855" t="s">
        <v>21</v>
      </c>
      <c r="B3855" t="s">
        <v>64</v>
      </c>
      <c r="T3855">
        <v>1925.8026254464951</v>
      </c>
    </row>
    <row r="3856" spans="1:20" x14ac:dyDescent="0.35">
      <c r="A3856" t="s">
        <v>21</v>
      </c>
      <c r="B3856" t="s">
        <v>65</v>
      </c>
      <c r="T3856">
        <v>2130.0470013962349</v>
      </c>
    </row>
    <row r="3857" spans="1:20" x14ac:dyDescent="0.35">
      <c r="A3857" t="s">
        <v>21</v>
      </c>
      <c r="B3857" t="s">
        <v>66</v>
      </c>
      <c r="T3857">
        <v>1501.7188096596235</v>
      </c>
    </row>
    <row r="3858" spans="1:20" x14ac:dyDescent="0.35">
      <c r="A3858" t="s">
        <v>21</v>
      </c>
      <c r="B3858" t="s">
        <v>47</v>
      </c>
      <c r="T3858">
        <v>11234.082838695906</v>
      </c>
    </row>
    <row r="3859" spans="1:20" x14ac:dyDescent="0.35">
      <c r="A3859" t="s">
        <v>22</v>
      </c>
      <c r="B3859" t="s">
        <v>72</v>
      </c>
      <c r="T3859">
        <v>2150.494885644946</v>
      </c>
    </row>
    <row r="3860" spans="1:20" x14ac:dyDescent="0.35">
      <c r="A3860" t="s">
        <v>22</v>
      </c>
      <c r="B3860" t="s">
        <v>61</v>
      </c>
      <c r="T3860">
        <v>4004.3615523116123</v>
      </c>
    </row>
    <row r="3861" spans="1:20" x14ac:dyDescent="0.35">
      <c r="A3861" t="s">
        <v>22</v>
      </c>
      <c r="B3861" t="s">
        <v>62</v>
      </c>
      <c r="T3861">
        <v>4965.7913577740173</v>
      </c>
    </row>
    <row r="3862" spans="1:20" x14ac:dyDescent="0.35">
      <c r="A3862" t="s">
        <v>22</v>
      </c>
      <c r="B3862" t="s">
        <v>63</v>
      </c>
      <c r="T3862">
        <v>5982.052619353949</v>
      </c>
    </row>
    <row r="3863" spans="1:20" x14ac:dyDescent="0.35">
      <c r="A3863" t="s">
        <v>22</v>
      </c>
      <c r="B3863" t="s">
        <v>64</v>
      </c>
      <c r="T3863">
        <v>5301.2171279005379</v>
      </c>
    </row>
    <row r="3864" spans="1:20" x14ac:dyDescent="0.35">
      <c r="A3864" t="s">
        <v>22</v>
      </c>
      <c r="B3864" t="s">
        <v>65</v>
      </c>
      <c r="T3864">
        <v>5651.6897751770903</v>
      </c>
    </row>
    <row r="3865" spans="1:20" x14ac:dyDescent="0.35">
      <c r="A3865" t="s">
        <v>22</v>
      </c>
      <c r="B3865" t="s">
        <v>66</v>
      </c>
      <c r="T3865">
        <v>4369.2083632251451</v>
      </c>
    </row>
    <row r="3866" spans="1:20" x14ac:dyDescent="0.35">
      <c r="A3866" t="s">
        <v>22</v>
      </c>
      <c r="B3866" t="s">
        <v>47</v>
      </c>
      <c r="T3866">
        <v>32424.815681387299</v>
      </c>
    </row>
    <row r="3867" spans="1:20" x14ac:dyDescent="0.35">
      <c r="A3867" t="s">
        <v>23</v>
      </c>
      <c r="B3867" t="s">
        <v>72</v>
      </c>
      <c r="T3867">
        <v>357.10713302746962</v>
      </c>
    </row>
    <row r="3868" spans="1:20" x14ac:dyDescent="0.35">
      <c r="A3868" t="s">
        <v>23</v>
      </c>
      <c r="B3868" t="s">
        <v>61</v>
      </c>
      <c r="T3868">
        <v>555.13379969413631</v>
      </c>
    </row>
    <row r="3869" spans="1:20" x14ac:dyDescent="0.35">
      <c r="A3869" t="s">
        <v>23</v>
      </c>
      <c r="B3869" t="s">
        <v>62</v>
      </c>
      <c r="T3869">
        <v>805.02580757830265</v>
      </c>
    </row>
    <row r="3870" spans="1:20" x14ac:dyDescent="0.35">
      <c r="A3870" t="s">
        <v>23</v>
      </c>
      <c r="B3870" t="s">
        <v>63</v>
      </c>
      <c r="T3870">
        <v>1006.1849073159301</v>
      </c>
    </row>
    <row r="3871" spans="1:20" x14ac:dyDescent="0.35">
      <c r="A3871" t="s">
        <v>23</v>
      </c>
      <c r="B3871" t="s">
        <v>64</v>
      </c>
      <c r="T3871">
        <v>876.5971203097838</v>
      </c>
    </row>
    <row r="3872" spans="1:20" x14ac:dyDescent="0.35">
      <c r="A3872" t="s">
        <v>23</v>
      </c>
      <c r="B3872" t="s">
        <v>65</v>
      </c>
      <c r="T3872">
        <v>949.5508553795363</v>
      </c>
    </row>
    <row r="3873" spans="1:20" x14ac:dyDescent="0.35">
      <c r="A3873" t="s">
        <v>23</v>
      </c>
      <c r="B3873" t="s">
        <v>66</v>
      </c>
      <c r="T3873">
        <v>705.80852287753817</v>
      </c>
    </row>
    <row r="3874" spans="1:20" x14ac:dyDescent="0.35">
      <c r="A3874" t="s">
        <v>23</v>
      </c>
      <c r="B3874" t="s">
        <v>47</v>
      </c>
      <c r="T3874">
        <v>5255.4081461826972</v>
      </c>
    </row>
    <row r="3875" spans="1:20" x14ac:dyDescent="0.35">
      <c r="A3875" t="s">
        <v>24</v>
      </c>
      <c r="B3875" t="s">
        <v>72</v>
      </c>
      <c r="T3875">
        <v>815.64042218600025</v>
      </c>
    </row>
    <row r="3876" spans="1:20" x14ac:dyDescent="0.35">
      <c r="A3876" t="s">
        <v>24</v>
      </c>
      <c r="B3876" t="s">
        <v>61</v>
      </c>
      <c r="T3876">
        <v>1789.9737555193335</v>
      </c>
    </row>
    <row r="3877" spans="1:20" x14ac:dyDescent="0.35">
      <c r="A3877" t="s">
        <v>24</v>
      </c>
      <c r="B3877" t="s">
        <v>62</v>
      </c>
      <c r="T3877">
        <v>1931.7883819568642</v>
      </c>
    </row>
    <row r="3878" spans="1:20" x14ac:dyDescent="0.35">
      <c r="A3878" t="s">
        <v>24</v>
      </c>
      <c r="B3878" t="s">
        <v>63</v>
      </c>
      <c r="T3878">
        <v>2237.2256769814385</v>
      </c>
    </row>
    <row r="3879" spans="1:20" x14ac:dyDescent="0.35">
      <c r="A3879" t="s">
        <v>24</v>
      </c>
      <c r="B3879" t="s">
        <v>64</v>
      </c>
      <c r="T3879">
        <v>2019.816385393257</v>
      </c>
    </row>
    <row r="3880" spans="1:20" x14ac:dyDescent="0.35">
      <c r="A3880" t="s">
        <v>24</v>
      </c>
      <c r="B3880" t="s">
        <v>65</v>
      </c>
      <c r="T3880">
        <v>2116.3078151915101</v>
      </c>
    </row>
    <row r="3881" spans="1:20" x14ac:dyDescent="0.35">
      <c r="A3881" t="s">
        <v>24</v>
      </c>
      <c r="B3881" t="s">
        <v>66</v>
      </c>
      <c r="T3881">
        <v>1705.886189227564</v>
      </c>
    </row>
    <row r="3882" spans="1:20" x14ac:dyDescent="0.35">
      <c r="A3882" t="s">
        <v>24</v>
      </c>
      <c r="B3882" t="s">
        <v>47</v>
      </c>
      <c r="T3882">
        <v>12616.638626455968</v>
      </c>
    </row>
    <row r="3883" spans="1:20" x14ac:dyDescent="0.35">
      <c r="A3883" t="s">
        <v>25</v>
      </c>
      <c r="B3883" t="s">
        <v>72</v>
      </c>
      <c r="T3883">
        <v>271.51905414113389</v>
      </c>
    </row>
    <row r="3884" spans="1:20" x14ac:dyDescent="0.35">
      <c r="A3884" t="s">
        <v>25</v>
      </c>
      <c r="B3884" t="s">
        <v>61</v>
      </c>
      <c r="T3884">
        <v>519.0523874744672</v>
      </c>
    </row>
    <row r="3885" spans="1:20" x14ac:dyDescent="0.35">
      <c r="A3885" t="s">
        <v>25</v>
      </c>
      <c r="B3885" t="s">
        <v>62</v>
      </c>
      <c r="T3885">
        <v>629.37656738995065</v>
      </c>
    </row>
    <row r="3886" spans="1:20" x14ac:dyDescent="0.35">
      <c r="A3886" t="s">
        <v>25</v>
      </c>
      <c r="B3886" t="s">
        <v>63</v>
      </c>
      <c r="T3886">
        <v>753.715674595981</v>
      </c>
    </row>
    <row r="3887" spans="1:20" x14ac:dyDescent="0.35">
      <c r="A3887" t="s">
        <v>25</v>
      </c>
      <c r="B3887" t="s">
        <v>64</v>
      </c>
      <c r="T3887">
        <v>669.78096529961635</v>
      </c>
    </row>
    <row r="3888" spans="1:20" x14ac:dyDescent="0.35">
      <c r="A3888" t="s">
        <v>25</v>
      </c>
      <c r="B3888" t="s">
        <v>65</v>
      </c>
      <c r="T3888">
        <v>712.22203479178779</v>
      </c>
    </row>
    <row r="3889" spans="1:20" x14ac:dyDescent="0.35">
      <c r="A3889" t="s">
        <v>25</v>
      </c>
      <c r="B3889" t="s">
        <v>66</v>
      </c>
      <c r="T3889">
        <v>554.0710451221471</v>
      </c>
    </row>
    <row r="3890" spans="1:20" x14ac:dyDescent="0.35">
      <c r="A3890" t="s">
        <v>25</v>
      </c>
      <c r="B3890" t="s">
        <v>47</v>
      </c>
      <c r="T3890">
        <v>4109.7377288150838</v>
      </c>
    </row>
    <row r="3891" spans="1:20" x14ac:dyDescent="0.35">
      <c r="A3891" t="s">
        <v>26</v>
      </c>
      <c r="B3891" t="s">
        <v>72</v>
      </c>
      <c r="T3891">
        <v>118.41675655745881</v>
      </c>
    </row>
    <row r="3892" spans="1:20" x14ac:dyDescent="0.35">
      <c r="A3892" t="s">
        <v>26</v>
      </c>
      <c r="B3892" t="s">
        <v>61</v>
      </c>
      <c r="T3892">
        <v>176.35008989079213</v>
      </c>
    </row>
    <row r="3893" spans="1:20" x14ac:dyDescent="0.35">
      <c r="A3893" t="s">
        <v>26</v>
      </c>
      <c r="B3893" t="s">
        <v>62</v>
      </c>
      <c r="T3893">
        <v>265.56776231819526</v>
      </c>
    </row>
    <row r="3894" spans="1:20" x14ac:dyDescent="0.35">
      <c r="A3894" t="s">
        <v>26</v>
      </c>
      <c r="B3894" t="s">
        <v>63</v>
      </c>
      <c r="T3894">
        <v>334.55337789377279</v>
      </c>
    </row>
    <row r="3895" spans="1:20" x14ac:dyDescent="0.35">
      <c r="A3895" t="s">
        <v>26</v>
      </c>
      <c r="B3895" t="s">
        <v>64</v>
      </c>
      <c r="T3895">
        <v>290.41825857044148</v>
      </c>
    </row>
    <row r="3896" spans="1:20" x14ac:dyDescent="0.35">
      <c r="A3896" t="s">
        <v>26</v>
      </c>
      <c r="B3896" t="s">
        <v>65</v>
      </c>
      <c r="T3896">
        <v>315.64857528957663</v>
      </c>
    </row>
    <row r="3897" spans="1:20" x14ac:dyDescent="0.35">
      <c r="A3897" t="s">
        <v>26</v>
      </c>
      <c r="B3897" t="s">
        <v>66</v>
      </c>
      <c r="T3897">
        <v>232.65675252977104</v>
      </c>
    </row>
    <row r="3898" spans="1:20" x14ac:dyDescent="0.35">
      <c r="A3898" t="s">
        <v>26</v>
      </c>
      <c r="B3898" t="s">
        <v>47</v>
      </c>
      <c r="T3898">
        <v>1733.611573050008</v>
      </c>
    </row>
    <row r="3899" spans="1:20" x14ac:dyDescent="0.35">
      <c r="A3899" t="s">
        <v>27</v>
      </c>
      <c r="B3899" t="s">
        <v>72</v>
      </c>
      <c r="T3899">
        <v>1896.0167290857139</v>
      </c>
    </row>
    <row r="3900" spans="1:20" x14ac:dyDescent="0.35">
      <c r="A3900" t="s">
        <v>27</v>
      </c>
      <c r="B3900" t="s">
        <v>61</v>
      </c>
      <c r="T3900">
        <v>3004.1233957523805</v>
      </c>
    </row>
    <row r="3901" spans="1:20" x14ac:dyDescent="0.35">
      <c r="A3901" t="s">
        <v>27</v>
      </c>
      <c r="B3901" t="s">
        <v>62</v>
      </c>
      <c r="T3901">
        <v>4284.2987424095581</v>
      </c>
    </row>
    <row r="3902" spans="1:20" x14ac:dyDescent="0.35">
      <c r="A3902" t="s">
        <v>27</v>
      </c>
      <c r="B3902" t="s">
        <v>63</v>
      </c>
      <c r="T3902">
        <v>5335.5979939767576</v>
      </c>
    </row>
    <row r="3903" spans="1:20" x14ac:dyDescent="0.35">
      <c r="A3903" t="s">
        <v>27</v>
      </c>
      <c r="B3903" t="s">
        <v>64</v>
      </c>
      <c r="T3903">
        <v>4656.1026566397868</v>
      </c>
    </row>
    <row r="3904" spans="1:20" x14ac:dyDescent="0.35">
      <c r="A3904" t="s">
        <v>27</v>
      </c>
      <c r="B3904" t="s">
        <v>65</v>
      </c>
      <c r="T3904">
        <v>5035.8227527873769</v>
      </c>
    </row>
    <row r="3905" spans="1:20" x14ac:dyDescent="0.35">
      <c r="A3905" t="s">
        <v>27</v>
      </c>
      <c r="B3905" t="s">
        <v>66</v>
      </c>
      <c r="T3905">
        <v>3757.5940503824645</v>
      </c>
    </row>
    <row r="3906" spans="1:20" x14ac:dyDescent="0.35">
      <c r="A3906" t="s">
        <v>27</v>
      </c>
      <c r="B3906" t="s">
        <v>47</v>
      </c>
      <c r="T3906">
        <v>27969.556321034037</v>
      </c>
    </row>
    <row r="3907" spans="1:20" x14ac:dyDescent="0.35">
      <c r="A3907" t="s">
        <v>28</v>
      </c>
      <c r="B3907" t="s">
        <v>72</v>
      </c>
      <c r="T3907">
        <v>267.10809853881295</v>
      </c>
    </row>
    <row r="3908" spans="1:20" x14ac:dyDescent="0.35">
      <c r="A3908" t="s">
        <v>28</v>
      </c>
      <c r="B3908" t="s">
        <v>61</v>
      </c>
      <c r="T3908">
        <v>332.41476520547963</v>
      </c>
    </row>
    <row r="3909" spans="1:20" x14ac:dyDescent="0.35">
      <c r="A3909" t="s">
        <v>28</v>
      </c>
      <c r="B3909" t="s">
        <v>62</v>
      </c>
      <c r="T3909">
        <v>587.37360292817607</v>
      </c>
    </row>
    <row r="3910" spans="1:20" x14ac:dyDescent="0.35">
      <c r="A3910" t="s">
        <v>28</v>
      </c>
      <c r="B3910" t="s">
        <v>63</v>
      </c>
      <c r="T3910">
        <v>762.26805145549122</v>
      </c>
    </row>
    <row r="3911" spans="1:20" x14ac:dyDescent="0.35">
      <c r="A3911" t="s">
        <v>28</v>
      </c>
      <c r="B3911" t="s">
        <v>64</v>
      </c>
      <c r="T3911">
        <v>652.87508815379601</v>
      </c>
    </row>
    <row r="3912" spans="1:20" x14ac:dyDescent="0.35">
      <c r="A3912" t="s">
        <v>28</v>
      </c>
      <c r="B3912" t="s">
        <v>65</v>
      </c>
      <c r="T3912">
        <v>718.56888963905044</v>
      </c>
    </row>
    <row r="3913" spans="1:20" x14ac:dyDescent="0.35">
      <c r="A3913" t="s">
        <v>28</v>
      </c>
      <c r="B3913" t="s">
        <v>66</v>
      </c>
      <c r="T3913">
        <v>513.04832232078797</v>
      </c>
    </row>
    <row r="3914" spans="1:20" x14ac:dyDescent="0.35">
      <c r="A3914" t="s">
        <v>28</v>
      </c>
      <c r="B3914" t="s">
        <v>47</v>
      </c>
      <c r="T3914">
        <v>3833.6568182415945</v>
      </c>
    </row>
    <row r="3915" spans="1:20" x14ac:dyDescent="0.35">
      <c r="A3915" t="s">
        <v>29</v>
      </c>
      <c r="B3915" t="s">
        <v>72</v>
      </c>
      <c r="T3915">
        <v>21843.234494547825</v>
      </c>
    </row>
    <row r="3916" spans="1:20" x14ac:dyDescent="0.35">
      <c r="A3916" t="s">
        <v>29</v>
      </c>
      <c r="B3916" t="s">
        <v>61</v>
      </c>
      <c r="T3916">
        <v>32412.381161214493</v>
      </c>
    </row>
    <row r="3917" spans="1:20" x14ac:dyDescent="0.35">
      <c r="A3917" t="s">
        <v>29</v>
      </c>
      <c r="B3917" t="s">
        <v>62</v>
      </c>
      <c r="T3917">
        <v>48965.894873855577</v>
      </c>
    </row>
    <row r="3918" spans="1:20" x14ac:dyDescent="0.35">
      <c r="A3918" t="s">
        <v>29</v>
      </c>
      <c r="B3918" t="s">
        <v>63</v>
      </c>
      <c r="T3918">
        <v>61725.627084913998</v>
      </c>
    </row>
    <row r="3919" spans="1:20" x14ac:dyDescent="0.35">
      <c r="A3919" t="s">
        <v>29</v>
      </c>
      <c r="B3919" t="s">
        <v>64</v>
      </c>
      <c r="T3919">
        <v>53566.782183287345</v>
      </c>
    </row>
    <row r="3920" spans="1:20" x14ac:dyDescent="0.35">
      <c r="A3920" t="s">
        <v>29</v>
      </c>
      <c r="B3920" t="s">
        <v>65</v>
      </c>
      <c r="T3920">
        <v>58236.53945595205</v>
      </c>
    </row>
    <row r="3921" spans="1:21" x14ac:dyDescent="0.35">
      <c r="A3921" t="s">
        <v>29</v>
      </c>
      <c r="B3921" t="s">
        <v>66</v>
      </c>
      <c r="T3921">
        <v>42894.947888452938</v>
      </c>
    </row>
    <row r="3922" spans="1:21" x14ac:dyDescent="0.35">
      <c r="A3922" t="s">
        <v>29</v>
      </c>
      <c r="B3922" t="s">
        <v>47</v>
      </c>
      <c r="T3922">
        <v>319645.40714222426</v>
      </c>
    </row>
    <row r="3923" spans="1:21" x14ac:dyDescent="0.35">
      <c r="A3923" t="s">
        <v>2</v>
      </c>
      <c r="B3923" t="s">
        <v>61</v>
      </c>
      <c r="U3923">
        <v>0</v>
      </c>
    </row>
    <row r="3924" spans="1:21" x14ac:dyDescent="0.35">
      <c r="A3924" t="s">
        <v>2</v>
      </c>
      <c r="B3924" t="s">
        <v>62</v>
      </c>
      <c r="U3924">
        <v>320.52999999999997</v>
      </c>
    </row>
    <row r="3925" spans="1:21" x14ac:dyDescent="0.35">
      <c r="A3925" t="s">
        <v>2</v>
      </c>
      <c r="B3925" t="s">
        <v>63</v>
      </c>
      <c r="U3925">
        <v>346.8717381818181</v>
      </c>
    </row>
    <row r="3926" spans="1:21" x14ac:dyDescent="0.35">
      <c r="A3926" t="s">
        <v>2</v>
      </c>
      <c r="B3926" t="s">
        <v>64</v>
      </c>
      <c r="U3926">
        <v>428.92741818181815</v>
      </c>
    </row>
    <row r="3927" spans="1:21" x14ac:dyDescent="0.35">
      <c r="A3927" t="s">
        <v>2</v>
      </c>
      <c r="B3927" t="s">
        <v>65</v>
      </c>
      <c r="U3927">
        <v>482.07711999999998</v>
      </c>
    </row>
    <row r="3928" spans="1:21" x14ac:dyDescent="0.35">
      <c r="A3928" t="s">
        <v>2</v>
      </c>
      <c r="B3928" t="s">
        <v>66</v>
      </c>
      <c r="U3928">
        <v>386.73401454545444</v>
      </c>
    </row>
    <row r="3929" spans="1:21" x14ac:dyDescent="0.35">
      <c r="A3929" t="s">
        <v>2</v>
      </c>
      <c r="B3929" t="s">
        <v>47</v>
      </c>
      <c r="U3929">
        <v>1965.1402909090907</v>
      </c>
    </row>
    <row r="3930" spans="1:21" x14ac:dyDescent="0.35">
      <c r="A3930" t="s">
        <v>3</v>
      </c>
      <c r="B3930" t="s">
        <v>61</v>
      </c>
      <c r="U3930">
        <v>0</v>
      </c>
    </row>
    <row r="3931" spans="1:21" x14ac:dyDescent="0.35">
      <c r="A3931" t="s">
        <v>3</v>
      </c>
      <c r="B3931" t="s">
        <v>62</v>
      </c>
      <c r="U3931">
        <v>413.59500000000003</v>
      </c>
    </row>
    <row r="3932" spans="1:21" x14ac:dyDescent="0.35">
      <c r="A3932" t="s">
        <v>3</v>
      </c>
      <c r="B3932" t="s">
        <v>63</v>
      </c>
      <c r="U3932">
        <v>447.58498909090906</v>
      </c>
    </row>
    <row r="3933" spans="1:21" x14ac:dyDescent="0.35">
      <c r="A3933" t="s">
        <v>3</v>
      </c>
      <c r="B3933" t="s">
        <v>64</v>
      </c>
      <c r="U3933">
        <v>553.46530909090916</v>
      </c>
    </row>
    <row r="3934" spans="1:21" x14ac:dyDescent="0.35">
      <c r="A3934" t="s">
        <v>3</v>
      </c>
      <c r="B3934" t="s">
        <v>65</v>
      </c>
      <c r="U3934">
        <v>622.04687999999999</v>
      </c>
    </row>
    <row r="3935" spans="1:21" x14ac:dyDescent="0.35">
      <c r="A3935" t="s">
        <v>3</v>
      </c>
      <c r="B3935" t="s">
        <v>66</v>
      </c>
      <c r="U3935">
        <v>499.02116727272727</v>
      </c>
    </row>
    <row r="3936" spans="1:21" x14ac:dyDescent="0.35">
      <c r="A3936" t="s">
        <v>3</v>
      </c>
      <c r="B3936" t="s">
        <v>47</v>
      </c>
      <c r="U3936">
        <v>2535.7133454545456</v>
      </c>
    </row>
    <row r="3937" spans="1:21" x14ac:dyDescent="0.35">
      <c r="A3937" t="s">
        <v>4</v>
      </c>
      <c r="B3937" t="s">
        <v>61</v>
      </c>
      <c r="U3937">
        <v>0</v>
      </c>
    </row>
    <row r="3938" spans="1:21" x14ac:dyDescent="0.35">
      <c r="A3938" t="s">
        <v>4</v>
      </c>
      <c r="B3938" t="s">
        <v>62</v>
      </c>
      <c r="U3938">
        <v>225.57500000000002</v>
      </c>
    </row>
    <row r="3939" spans="1:21" x14ac:dyDescent="0.35">
      <c r="A3939" t="s">
        <v>4</v>
      </c>
      <c r="B3939" t="s">
        <v>63</v>
      </c>
      <c r="U3939">
        <v>244.11316363636365</v>
      </c>
    </row>
    <row r="3940" spans="1:21" x14ac:dyDescent="0.35">
      <c r="A3940" t="s">
        <v>4</v>
      </c>
      <c r="B3940" t="s">
        <v>64</v>
      </c>
      <c r="U3940">
        <v>301.86036363636367</v>
      </c>
    </row>
    <row r="3941" spans="1:21" x14ac:dyDescent="0.35">
      <c r="A3941" t="s">
        <v>4</v>
      </c>
      <c r="B3941" t="s">
        <v>65</v>
      </c>
      <c r="U3941">
        <v>339.26480000000004</v>
      </c>
    </row>
    <row r="3942" spans="1:21" x14ac:dyDescent="0.35">
      <c r="A3942" t="s">
        <v>4</v>
      </c>
      <c r="B3942" t="s">
        <v>66</v>
      </c>
      <c r="U3942">
        <v>272.1664909090909</v>
      </c>
    </row>
    <row r="3943" spans="1:21" x14ac:dyDescent="0.35">
      <c r="A3943" t="s">
        <v>4</v>
      </c>
      <c r="B3943" t="s">
        <v>47</v>
      </c>
      <c r="U3943">
        <v>1382.9798181818182</v>
      </c>
    </row>
    <row r="3944" spans="1:21" x14ac:dyDescent="0.35">
      <c r="A3944" t="s">
        <v>5</v>
      </c>
      <c r="B3944" t="s">
        <v>61</v>
      </c>
      <c r="U3944">
        <v>0</v>
      </c>
    </row>
    <row r="3945" spans="1:21" x14ac:dyDescent="0.35">
      <c r="A3945" t="s">
        <v>5</v>
      </c>
      <c r="B3945" t="s">
        <v>62</v>
      </c>
      <c r="U3945">
        <v>135.17000000000002</v>
      </c>
    </row>
    <row r="3946" spans="1:21" x14ac:dyDescent="0.35">
      <c r="A3946" t="s">
        <v>5</v>
      </c>
      <c r="B3946" t="s">
        <v>63</v>
      </c>
      <c r="U3946">
        <v>146.27851636363636</v>
      </c>
    </row>
    <row r="3947" spans="1:21" x14ac:dyDescent="0.35">
      <c r="A3947" t="s">
        <v>5</v>
      </c>
      <c r="B3947" t="s">
        <v>64</v>
      </c>
      <c r="U3947">
        <v>180.88203636363639</v>
      </c>
    </row>
    <row r="3948" spans="1:21" x14ac:dyDescent="0.35">
      <c r="A3948" t="s">
        <v>5</v>
      </c>
      <c r="B3948" t="s">
        <v>65</v>
      </c>
      <c r="U3948">
        <v>203.29568000000003</v>
      </c>
    </row>
    <row r="3949" spans="1:21" x14ac:dyDescent="0.35">
      <c r="A3949" t="s">
        <v>5</v>
      </c>
      <c r="B3949" t="s">
        <v>66</v>
      </c>
      <c r="U3949">
        <v>163.08874909090909</v>
      </c>
    </row>
    <row r="3950" spans="1:21" x14ac:dyDescent="0.35">
      <c r="A3950" t="s">
        <v>5</v>
      </c>
      <c r="B3950" t="s">
        <v>47</v>
      </c>
      <c r="U3950">
        <v>828.71498181818197</v>
      </c>
    </row>
    <row r="3951" spans="1:21" x14ac:dyDescent="0.35">
      <c r="A3951" t="s">
        <v>6</v>
      </c>
      <c r="B3951" t="s">
        <v>61</v>
      </c>
      <c r="U3951">
        <v>0</v>
      </c>
    </row>
    <row r="3952" spans="1:21" x14ac:dyDescent="0.35">
      <c r="A3952" t="s">
        <v>6</v>
      </c>
      <c r="B3952" t="s">
        <v>62</v>
      </c>
      <c r="U3952">
        <v>33.81</v>
      </c>
    </row>
    <row r="3953" spans="1:21" x14ac:dyDescent="0.35">
      <c r="A3953" t="s">
        <v>6</v>
      </c>
      <c r="B3953" t="s">
        <v>63</v>
      </c>
      <c r="U3953">
        <v>36.588567272727268</v>
      </c>
    </row>
    <row r="3954" spans="1:21" x14ac:dyDescent="0.35">
      <c r="A3954" t="s">
        <v>6</v>
      </c>
      <c r="B3954" t="s">
        <v>64</v>
      </c>
      <c r="U3954">
        <v>45.243927272727277</v>
      </c>
    </row>
    <row r="3955" spans="1:21" x14ac:dyDescent="0.35">
      <c r="A3955" t="s">
        <v>6</v>
      </c>
      <c r="B3955" t="s">
        <v>65</v>
      </c>
      <c r="U3955">
        <v>50.850239999999999</v>
      </c>
    </row>
    <row r="3956" spans="1:21" x14ac:dyDescent="0.35">
      <c r="A3956" t="s">
        <v>6</v>
      </c>
      <c r="B3956" t="s">
        <v>66</v>
      </c>
      <c r="U3956">
        <v>40.793301818181817</v>
      </c>
    </row>
    <row r="3957" spans="1:21" x14ac:dyDescent="0.35">
      <c r="A3957" t="s">
        <v>6</v>
      </c>
      <c r="B3957" t="s">
        <v>47</v>
      </c>
      <c r="U3957">
        <v>207.28603636363636</v>
      </c>
    </row>
    <row r="3958" spans="1:21" x14ac:dyDescent="0.35">
      <c r="A3958" t="s">
        <v>7</v>
      </c>
      <c r="B3958" t="s">
        <v>61</v>
      </c>
      <c r="U3958">
        <v>0</v>
      </c>
    </row>
    <row r="3959" spans="1:21" x14ac:dyDescent="0.35">
      <c r="A3959" t="s">
        <v>7</v>
      </c>
      <c r="B3959" t="s">
        <v>62</v>
      </c>
      <c r="U3959">
        <v>381.53499999999997</v>
      </c>
    </row>
    <row r="3960" spans="1:21" x14ac:dyDescent="0.35">
      <c r="A3960" t="s">
        <v>7</v>
      </c>
      <c r="B3960" t="s">
        <v>63</v>
      </c>
      <c r="U3960">
        <v>412.89023999999989</v>
      </c>
    </row>
    <row r="3961" spans="1:21" x14ac:dyDescent="0.35">
      <c r="A3961" t="s">
        <v>7</v>
      </c>
      <c r="B3961" t="s">
        <v>64</v>
      </c>
      <c r="U3961">
        <v>510.56320000000005</v>
      </c>
    </row>
    <row r="3962" spans="1:21" x14ac:dyDescent="0.35">
      <c r="A3962" t="s">
        <v>7</v>
      </c>
      <c r="B3962" t="s">
        <v>65</v>
      </c>
      <c r="U3962">
        <v>573.82863999999995</v>
      </c>
    </row>
    <row r="3963" spans="1:21" x14ac:dyDescent="0.35">
      <c r="A3963" t="s">
        <v>7</v>
      </c>
      <c r="B3963" t="s">
        <v>66</v>
      </c>
      <c r="U3963">
        <v>460.33931999999999</v>
      </c>
    </row>
    <row r="3964" spans="1:21" x14ac:dyDescent="0.35">
      <c r="A3964" t="s">
        <v>7</v>
      </c>
      <c r="B3964" t="s">
        <v>47</v>
      </c>
      <c r="U3964">
        <v>2339.1563999999998</v>
      </c>
    </row>
    <row r="3965" spans="1:21" x14ac:dyDescent="0.35">
      <c r="A3965" t="s">
        <v>8</v>
      </c>
      <c r="B3965" t="s">
        <v>61</v>
      </c>
      <c r="U3965">
        <v>0</v>
      </c>
    </row>
    <row r="3966" spans="1:21" x14ac:dyDescent="0.35">
      <c r="A3966" t="s">
        <v>8</v>
      </c>
      <c r="B3966" t="s">
        <v>62</v>
      </c>
      <c r="U3966">
        <v>208.63500000000002</v>
      </c>
    </row>
    <row r="3967" spans="1:21" x14ac:dyDescent="0.35">
      <c r="A3967" t="s">
        <v>8</v>
      </c>
      <c r="B3967" t="s">
        <v>63</v>
      </c>
      <c r="U3967">
        <v>225.78100363636364</v>
      </c>
    </row>
    <row r="3968" spans="1:21" x14ac:dyDescent="0.35">
      <c r="A3968" t="s">
        <v>8</v>
      </c>
      <c r="B3968" t="s">
        <v>64</v>
      </c>
      <c r="U3968">
        <v>279.1915636363637</v>
      </c>
    </row>
    <row r="3969" spans="1:21" x14ac:dyDescent="0.35">
      <c r="A3969" t="s">
        <v>8</v>
      </c>
      <c r="B3969" t="s">
        <v>65</v>
      </c>
      <c r="U3969">
        <v>313.78703999999999</v>
      </c>
    </row>
    <row r="3970" spans="1:21" x14ac:dyDescent="0.35">
      <c r="A3970" t="s">
        <v>8</v>
      </c>
      <c r="B3970" t="s">
        <v>66</v>
      </c>
      <c r="U3970">
        <v>251.72761090909088</v>
      </c>
    </row>
    <row r="3971" spans="1:21" x14ac:dyDescent="0.35">
      <c r="A3971" t="s">
        <v>8</v>
      </c>
      <c r="B3971" t="s">
        <v>47</v>
      </c>
      <c r="U3971">
        <v>1279.1222181818182</v>
      </c>
    </row>
    <row r="3972" spans="1:21" x14ac:dyDescent="0.35">
      <c r="A3972" t="s">
        <v>9</v>
      </c>
      <c r="B3972" t="s">
        <v>61</v>
      </c>
      <c r="U3972">
        <v>0</v>
      </c>
    </row>
    <row r="3973" spans="1:21" x14ac:dyDescent="0.35">
      <c r="A3973" t="s">
        <v>9</v>
      </c>
      <c r="B3973" t="s">
        <v>62</v>
      </c>
      <c r="U3973">
        <v>48.125</v>
      </c>
    </row>
    <row r="3974" spans="1:21" x14ac:dyDescent="0.35">
      <c r="A3974" t="s">
        <v>9</v>
      </c>
      <c r="B3974" t="s">
        <v>63</v>
      </c>
      <c r="U3974">
        <v>52.079999999999991</v>
      </c>
    </row>
    <row r="3975" spans="1:21" x14ac:dyDescent="0.35">
      <c r="A3975" t="s">
        <v>9</v>
      </c>
      <c r="B3975" t="s">
        <v>64</v>
      </c>
      <c r="U3975">
        <v>64.400000000000006</v>
      </c>
    </row>
    <row r="3976" spans="1:21" x14ac:dyDescent="0.35">
      <c r="A3976" t="s">
        <v>9</v>
      </c>
      <c r="B3976" t="s">
        <v>65</v>
      </c>
      <c r="U3976">
        <v>72.38</v>
      </c>
    </row>
    <row r="3977" spans="1:21" x14ac:dyDescent="0.35">
      <c r="A3977" t="s">
        <v>9</v>
      </c>
      <c r="B3977" t="s">
        <v>66</v>
      </c>
      <c r="U3977">
        <v>58.064999999999991</v>
      </c>
    </row>
    <row r="3978" spans="1:21" x14ac:dyDescent="0.35">
      <c r="A3978" t="s">
        <v>9</v>
      </c>
      <c r="B3978" t="s">
        <v>47</v>
      </c>
      <c r="U3978">
        <v>295.04999999999995</v>
      </c>
    </row>
    <row r="3979" spans="1:21" x14ac:dyDescent="0.35">
      <c r="A3979" t="s">
        <v>10</v>
      </c>
      <c r="B3979" t="s">
        <v>61</v>
      </c>
      <c r="U3979">
        <v>0</v>
      </c>
    </row>
    <row r="3980" spans="1:21" x14ac:dyDescent="0.35">
      <c r="A3980" t="s">
        <v>10</v>
      </c>
      <c r="B3980" t="s">
        <v>62</v>
      </c>
      <c r="U3980">
        <v>196.14000000000001</v>
      </c>
    </row>
    <row r="3981" spans="1:21" x14ac:dyDescent="0.35">
      <c r="A3981" t="s">
        <v>10</v>
      </c>
      <c r="B3981" t="s">
        <v>63</v>
      </c>
      <c r="U3981">
        <v>212.2591418181818</v>
      </c>
    </row>
    <row r="3982" spans="1:21" x14ac:dyDescent="0.35">
      <c r="A3982" t="s">
        <v>10</v>
      </c>
      <c r="B3982" t="s">
        <v>64</v>
      </c>
      <c r="U3982">
        <v>262.47098181818188</v>
      </c>
    </row>
    <row r="3983" spans="1:21" x14ac:dyDescent="0.35">
      <c r="A3983" t="s">
        <v>10</v>
      </c>
      <c r="B3983" t="s">
        <v>65</v>
      </c>
      <c r="U3983">
        <v>294.99456000000004</v>
      </c>
    </row>
    <row r="3984" spans="1:21" x14ac:dyDescent="0.35">
      <c r="A3984" t="s">
        <v>10</v>
      </c>
      <c r="B3984" t="s">
        <v>66</v>
      </c>
      <c r="U3984">
        <v>236.65182545454545</v>
      </c>
    </row>
    <row r="3985" spans="1:21" x14ac:dyDescent="0.35">
      <c r="A3985" t="s">
        <v>10</v>
      </c>
      <c r="B3985" t="s">
        <v>47</v>
      </c>
      <c r="U3985">
        <v>1202.516509090909</v>
      </c>
    </row>
    <row r="3986" spans="1:21" x14ac:dyDescent="0.35">
      <c r="A3986" t="s">
        <v>11</v>
      </c>
      <c r="B3986" t="s">
        <v>61</v>
      </c>
      <c r="U3986">
        <v>0</v>
      </c>
    </row>
    <row r="3987" spans="1:21" x14ac:dyDescent="0.35">
      <c r="A3987" t="s">
        <v>11</v>
      </c>
      <c r="B3987" t="s">
        <v>62</v>
      </c>
      <c r="U3987">
        <v>2396.3449999999998</v>
      </c>
    </row>
    <row r="3988" spans="1:21" x14ac:dyDescent="0.35">
      <c r="A3988" t="s">
        <v>11</v>
      </c>
      <c r="B3988" t="s">
        <v>63</v>
      </c>
      <c r="U3988">
        <v>2593.2809890909089</v>
      </c>
    </row>
    <row r="3989" spans="1:21" x14ac:dyDescent="0.35">
      <c r="A3989" t="s">
        <v>11</v>
      </c>
      <c r="B3989" t="s">
        <v>64</v>
      </c>
      <c r="U3989">
        <v>3206.7453090909094</v>
      </c>
    </row>
    <row r="3990" spans="1:21" x14ac:dyDescent="0.35">
      <c r="A3990" t="s">
        <v>11</v>
      </c>
      <c r="B3990" t="s">
        <v>65</v>
      </c>
      <c r="U3990">
        <v>3604.1028799999995</v>
      </c>
    </row>
    <row r="3991" spans="1:21" x14ac:dyDescent="0.35">
      <c r="A3991" t="s">
        <v>11</v>
      </c>
      <c r="B3991" t="s">
        <v>66</v>
      </c>
      <c r="U3991">
        <v>2891.2991672727267</v>
      </c>
    </row>
    <row r="3992" spans="1:21" x14ac:dyDescent="0.35">
      <c r="A3992" t="s">
        <v>11</v>
      </c>
      <c r="B3992" t="s">
        <v>47</v>
      </c>
      <c r="U3992">
        <v>14691.773345454541</v>
      </c>
    </row>
    <row r="3993" spans="1:21" x14ac:dyDescent="0.35">
      <c r="A3993" t="s">
        <v>12</v>
      </c>
      <c r="B3993" t="s">
        <v>61</v>
      </c>
      <c r="U3993">
        <v>0</v>
      </c>
    </row>
    <row r="3994" spans="1:21" x14ac:dyDescent="0.35">
      <c r="A3994" t="s">
        <v>12</v>
      </c>
      <c r="B3994" t="s">
        <v>62</v>
      </c>
      <c r="U3994">
        <v>2920.96</v>
      </c>
    </row>
    <row r="3995" spans="1:21" x14ac:dyDescent="0.35">
      <c r="A3995" t="s">
        <v>12</v>
      </c>
      <c r="B3995" t="s">
        <v>63</v>
      </c>
      <c r="U3995">
        <v>3161.0098036363634</v>
      </c>
    </row>
    <row r="3996" spans="1:21" x14ac:dyDescent="0.35">
      <c r="A3996" t="s">
        <v>12</v>
      </c>
      <c r="B3996" t="s">
        <v>64</v>
      </c>
      <c r="U3996">
        <v>3908.775563636364</v>
      </c>
    </row>
    <row r="3997" spans="1:21" x14ac:dyDescent="0.35">
      <c r="A3997" t="s">
        <v>12</v>
      </c>
      <c r="B3997" t="s">
        <v>65</v>
      </c>
      <c r="U3997">
        <v>4393.1238400000002</v>
      </c>
    </row>
    <row r="3998" spans="1:21" x14ac:dyDescent="0.35">
      <c r="A3998" t="s">
        <v>12</v>
      </c>
      <c r="B3998" t="s">
        <v>66</v>
      </c>
      <c r="U3998">
        <v>3524.2710109090908</v>
      </c>
    </row>
    <row r="3999" spans="1:21" x14ac:dyDescent="0.35">
      <c r="A3999" t="s">
        <v>12</v>
      </c>
      <c r="B3999" t="s">
        <v>47</v>
      </c>
      <c r="U3999">
        <v>17908.140218181819</v>
      </c>
    </row>
    <row r="4000" spans="1:21" x14ac:dyDescent="0.35">
      <c r="A4000" t="s">
        <v>13</v>
      </c>
      <c r="B4000" t="s">
        <v>61</v>
      </c>
      <c r="U4000">
        <v>0</v>
      </c>
    </row>
    <row r="4001" spans="1:21" x14ac:dyDescent="0.35">
      <c r="A4001" t="s">
        <v>13</v>
      </c>
      <c r="B4001" t="s">
        <v>62</v>
      </c>
      <c r="U4001">
        <v>364.03499999999997</v>
      </c>
    </row>
    <row r="4002" spans="1:21" x14ac:dyDescent="0.35">
      <c r="A4002" t="s">
        <v>13</v>
      </c>
      <c r="B4002" t="s">
        <v>63</v>
      </c>
      <c r="U4002">
        <v>393.95205818181813</v>
      </c>
    </row>
    <row r="4003" spans="1:21" x14ac:dyDescent="0.35">
      <c r="A4003" t="s">
        <v>13</v>
      </c>
      <c r="B4003" t="s">
        <v>64</v>
      </c>
      <c r="U4003">
        <v>487.14501818181816</v>
      </c>
    </row>
    <row r="4004" spans="1:21" x14ac:dyDescent="0.35">
      <c r="A4004" t="s">
        <v>13</v>
      </c>
      <c r="B4004" t="s">
        <v>65</v>
      </c>
      <c r="U4004">
        <v>547.5086399999999</v>
      </c>
    </row>
    <row r="4005" spans="1:21" x14ac:dyDescent="0.35">
      <c r="A4005" t="s">
        <v>13</v>
      </c>
      <c r="B4005" t="s">
        <v>66</v>
      </c>
      <c r="U4005">
        <v>439.22477454545447</v>
      </c>
    </row>
    <row r="4006" spans="1:21" x14ac:dyDescent="0.35">
      <c r="A4006" t="s">
        <v>13</v>
      </c>
      <c r="B4006" t="s">
        <v>47</v>
      </c>
      <c r="U4006">
        <v>2231.865490909091</v>
      </c>
    </row>
    <row r="4007" spans="1:21" x14ac:dyDescent="0.35">
      <c r="A4007" t="s">
        <v>14</v>
      </c>
      <c r="B4007" t="s">
        <v>61</v>
      </c>
      <c r="U4007">
        <v>0</v>
      </c>
    </row>
    <row r="4008" spans="1:21" x14ac:dyDescent="0.35">
      <c r="A4008" t="s">
        <v>14</v>
      </c>
      <c r="B4008" t="s">
        <v>62</v>
      </c>
      <c r="U4008">
        <v>335.47500000000002</v>
      </c>
    </row>
    <row r="4009" spans="1:21" x14ac:dyDescent="0.35">
      <c r="A4009" t="s">
        <v>14</v>
      </c>
      <c r="B4009" t="s">
        <v>63</v>
      </c>
      <c r="U4009">
        <v>363.04494545454543</v>
      </c>
    </row>
    <row r="4010" spans="1:21" x14ac:dyDescent="0.35">
      <c r="A4010" t="s">
        <v>14</v>
      </c>
      <c r="B4010" t="s">
        <v>64</v>
      </c>
      <c r="U4010">
        <v>448.92654545454553</v>
      </c>
    </row>
    <row r="4011" spans="1:21" x14ac:dyDescent="0.35">
      <c r="A4011" t="s">
        <v>14</v>
      </c>
      <c r="B4011" t="s">
        <v>65</v>
      </c>
      <c r="U4011">
        <v>504.55439999999999</v>
      </c>
    </row>
    <row r="4012" spans="1:21" x14ac:dyDescent="0.35">
      <c r="A4012" t="s">
        <v>14</v>
      </c>
      <c r="B4012" t="s">
        <v>66</v>
      </c>
      <c r="U4012">
        <v>404.76583636363637</v>
      </c>
    </row>
    <row r="4013" spans="1:21" x14ac:dyDescent="0.35">
      <c r="A4013" t="s">
        <v>14</v>
      </c>
      <c r="B4013" t="s">
        <v>47</v>
      </c>
      <c r="U4013">
        <v>2056.7667272727272</v>
      </c>
    </row>
    <row r="4014" spans="1:21" x14ac:dyDescent="0.35">
      <c r="A4014" t="s">
        <v>15</v>
      </c>
      <c r="B4014" t="s">
        <v>61</v>
      </c>
      <c r="U4014">
        <v>0</v>
      </c>
    </row>
    <row r="4015" spans="1:21" x14ac:dyDescent="0.35">
      <c r="A4015" t="s">
        <v>15</v>
      </c>
      <c r="B4015" t="s">
        <v>62</v>
      </c>
      <c r="U4015">
        <v>187.32000000000002</v>
      </c>
    </row>
    <row r="4016" spans="1:21" x14ac:dyDescent="0.35">
      <c r="A4016" t="s">
        <v>15</v>
      </c>
      <c r="B4016" t="s">
        <v>63</v>
      </c>
      <c r="U4016">
        <v>202.71429818181818</v>
      </c>
    </row>
    <row r="4017" spans="1:21" x14ac:dyDescent="0.35">
      <c r="A4017" t="s">
        <v>15</v>
      </c>
      <c r="B4017" t="s">
        <v>64</v>
      </c>
      <c r="U4017">
        <v>250.66821818181822</v>
      </c>
    </row>
    <row r="4018" spans="1:21" x14ac:dyDescent="0.35">
      <c r="A4018" t="s">
        <v>15</v>
      </c>
      <c r="B4018" t="s">
        <v>65</v>
      </c>
      <c r="U4018">
        <v>281.72928000000002</v>
      </c>
    </row>
    <row r="4019" spans="1:21" x14ac:dyDescent="0.35">
      <c r="A4019" t="s">
        <v>15</v>
      </c>
      <c r="B4019" t="s">
        <v>66</v>
      </c>
      <c r="U4019">
        <v>226.01009454545456</v>
      </c>
    </row>
    <row r="4020" spans="1:21" x14ac:dyDescent="0.35">
      <c r="A4020" t="s">
        <v>15</v>
      </c>
      <c r="B4020" t="s">
        <v>47</v>
      </c>
      <c r="U4020">
        <v>1148.4418909090909</v>
      </c>
    </row>
    <row r="4021" spans="1:21" x14ac:dyDescent="0.35">
      <c r="A4021" t="s">
        <v>16</v>
      </c>
      <c r="B4021" t="s">
        <v>61</v>
      </c>
      <c r="U4021">
        <v>0</v>
      </c>
    </row>
    <row r="4022" spans="1:21" x14ac:dyDescent="0.35">
      <c r="A4022" t="s">
        <v>16</v>
      </c>
      <c r="B4022" t="s">
        <v>62</v>
      </c>
      <c r="U4022">
        <v>2063.9849999999997</v>
      </c>
    </row>
    <row r="4023" spans="1:21" x14ac:dyDescent="0.35">
      <c r="A4023" t="s">
        <v>16</v>
      </c>
      <c r="B4023" t="s">
        <v>63</v>
      </c>
      <c r="U4023">
        <v>2233.6070399999994</v>
      </c>
    </row>
    <row r="4024" spans="1:21" x14ac:dyDescent="0.35">
      <c r="A4024" t="s">
        <v>16</v>
      </c>
      <c r="B4024" t="s">
        <v>64</v>
      </c>
      <c r="U4024">
        <v>2761.9871999999996</v>
      </c>
    </row>
    <row r="4025" spans="1:21" x14ac:dyDescent="0.35">
      <c r="A4025" t="s">
        <v>16</v>
      </c>
      <c r="B4025" t="s">
        <v>65</v>
      </c>
      <c r="U4025">
        <v>3104.2334399999991</v>
      </c>
    </row>
    <row r="4026" spans="1:21" x14ac:dyDescent="0.35">
      <c r="A4026" t="s">
        <v>16</v>
      </c>
      <c r="B4026" t="s">
        <v>66</v>
      </c>
      <c r="U4026">
        <v>2490.2917199999997</v>
      </c>
    </row>
    <row r="4027" spans="1:21" x14ac:dyDescent="0.35">
      <c r="A4027" t="s">
        <v>16</v>
      </c>
      <c r="B4027" t="s">
        <v>47</v>
      </c>
      <c r="U4027">
        <v>12654.104399999998</v>
      </c>
    </row>
    <row r="4028" spans="1:21" x14ac:dyDescent="0.35">
      <c r="A4028" t="s">
        <v>17</v>
      </c>
      <c r="B4028" t="s">
        <v>61</v>
      </c>
      <c r="U4028">
        <v>0</v>
      </c>
    </row>
    <row r="4029" spans="1:21" x14ac:dyDescent="0.35">
      <c r="A4029" t="s">
        <v>17</v>
      </c>
      <c r="B4029" t="s">
        <v>62</v>
      </c>
      <c r="U4029">
        <v>65.625</v>
      </c>
    </row>
    <row r="4030" spans="1:21" x14ac:dyDescent="0.35">
      <c r="A4030" t="s">
        <v>17</v>
      </c>
      <c r="B4030" t="s">
        <v>63</v>
      </c>
      <c r="U4030">
        <v>71.018181818181816</v>
      </c>
    </row>
    <row r="4031" spans="1:21" x14ac:dyDescent="0.35">
      <c r="A4031" t="s">
        <v>17</v>
      </c>
      <c r="B4031" t="s">
        <v>64</v>
      </c>
      <c r="U4031">
        <v>87.818181818181827</v>
      </c>
    </row>
    <row r="4032" spans="1:21" x14ac:dyDescent="0.35">
      <c r="A4032" t="s">
        <v>17</v>
      </c>
      <c r="B4032" t="s">
        <v>65</v>
      </c>
      <c r="U4032">
        <v>98.699999999999989</v>
      </c>
    </row>
    <row r="4033" spans="1:21" x14ac:dyDescent="0.35">
      <c r="A4033" t="s">
        <v>17</v>
      </c>
      <c r="B4033" t="s">
        <v>66</v>
      </c>
      <c r="U4033">
        <v>79.179545454545448</v>
      </c>
    </row>
    <row r="4034" spans="1:21" x14ac:dyDescent="0.35">
      <c r="A4034" t="s">
        <v>17</v>
      </c>
      <c r="B4034" t="s">
        <v>47</v>
      </c>
      <c r="U4034">
        <v>402.34090909090907</v>
      </c>
    </row>
    <row r="4035" spans="1:21" x14ac:dyDescent="0.35">
      <c r="A4035" t="s">
        <v>18</v>
      </c>
      <c r="B4035" t="s">
        <v>61</v>
      </c>
      <c r="U4035">
        <v>0</v>
      </c>
    </row>
    <row r="4036" spans="1:21" x14ac:dyDescent="0.35">
      <c r="A4036" t="s">
        <v>18</v>
      </c>
      <c r="B4036" t="s">
        <v>62</v>
      </c>
      <c r="U4036">
        <v>101.01</v>
      </c>
    </row>
    <row r="4037" spans="1:21" x14ac:dyDescent="0.35">
      <c r="A4037" t="s">
        <v>18</v>
      </c>
      <c r="B4037" t="s">
        <v>63</v>
      </c>
      <c r="U4037">
        <v>109.31118545454545</v>
      </c>
    </row>
    <row r="4038" spans="1:21" x14ac:dyDescent="0.35">
      <c r="A4038" t="s">
        <v>18</v>
      </c>
      <c r="B4038" t="s">
        <v>64</v>
      </c>
      <c r="U4038">
        <v>135.16974545454548</v>
      </c>
    </row>
    <row r="4039" spans="1:21" x14ac:dyDescent="0.35">
      <c r="A4039" t="s">
        <v>18</v>
      </c>
      <c r="B4039" t="s">
        <v>65</v>
      </c>
      <c r="U4039">
        <v>151.91904</v>
      </c>
    </row>
    <row r="4040" spans="1:21" x14ac:dyDescent="0.35">
      <c r="A4040" t="s">
        <v>18</v>
      </c>
      <c r="B4040" t="s">
        <v>66</v>
      </c>
      <c r="U4040">
        <v>121.87315636363635</v>
      </c>
    </row>
    <row r="4041" spans="1:21" x14ac:dyDescent="0.35">
      <c r="A4041" t="s">
        <v>18</v>
      </c>
      <c r="B4041" t="s">
        <v>47</v>
      </c>
      <c r="U4041">
        <v>619.28312727272726</v>
      </c>
    </row>
    <row r="4042" spans="1:21" x14ac:dyDescent="0.35">
      <c r="A4042" t="s">
        <v>19</v>
      </c>
      <c r="B4042" t="s">
        <v>61</v>
      </c>
      <c r="U4042">
        <v>0</v>
      </c>
    </row>
    <row r="4043" spans="1:21" x14ac:dyDescent="0.35">
      <c r="A4043" t="s">
        <v>19</v>
      </c>
      <c r="B4043" t="s">
        <v>62</v>
      </c>
      <c r="U4043">
        <v>23.135000000000002</v>
      </c>
    </row>
    <row r="4044" spans="1:21" x14ac:dyDescent="0.35">
      <c r="A4044" t="s">
        <v>19</v>
      </c>
      <c r="B4044" t="s">
        <v>63</v>
      </c>
      <c r="U4044">
        <v>25.036276363636365</v>
      </c>
    </row>
    <row r="4045" spans="1:21" x14ac:dyDescent="0.35">
      <c r="A4045" t="s">
        <v>19</v>
      </c>
      <c r="B4045" t="s">
        <v>64</v>
      </c>
      <c r="U4045">
        <v>30.958836363636369</v>
      </c>
    </row>
    <row r="4046" spans="1:21" x14ac:dyDescent="0.35">
      <c r="A4046" t="s">
        <v>19</v>
      </c>
      <c r="B4046" t="s">
        <v>65</v>
      </c>
      <c r="U4046">
        <v>34.79504</v>
      </c>
    </row>
    <row r="4047" spans="1:21" x14ac:dyDescent="0.35">
      <c r="A4047" t="s">
        <v>19</v>
      </c>
      <c r="B4047" t="s">
        <v>66</v>
      </c>
      <c r="U4047">
        <v>27.913429090909087</v>
      </c>
    </row>
    <row r="4048" spans="1:21" x14ac:dyDescent="0.35">
      <c r="A4048" t="s">
        <v>19</v>
      </c>
      <c r="B4048" t="s">
        <v>47</v>
      </c>
      <c r="U4048">
        <v>141.83858181818181</v>
      </c>
    </row>
    <row r="4049" spans="1:21" x14ac:dyDescent="0.35">
      <c r="A4049" t="s">
        <v>20</v>
      </c>
      <c r="B4049" t="s">
        <v>61</v>
      </c>
      <c r="U4049">
        <v>0</v>
      </c>
    </row>
    <row r="4050" spans="1:21" x14ac:dyDescent="0.35">
      <c r="A4050" t="s">
        <v>20</v>
      </c>
      <c r="B4050" t="s">
        <v>62</v>
      </c>
      <c r="U4050">
        <v>19.704999999999998</v>
      </c>
    </row>
    <row r="4051" spans="1:21" x14ac:dyDescent="0.35">
      <c r="A4051" t="s">
        <v>20</v>
      </c>
      <c r="B4051" t="s">
        <v>63</v>
      </c>
      <c r="U4051">
        <v>21.324392727272723</v>
      </c>
    </row>
    <row r="4052" spans="1:21" x14ac:dyDescent="0.35">
      <c r="A4052" t="s">
        <v>20</v>
      </c>
      <c r="B4052" t="s">
        <v>64</v>
      </c>
      <c r="U4052">
        <v>26.368872727272727</v>
      </c>
    </row>
    <row r="4053" spans="1:21" x14ac:dyDescent="0.35">
      <c r="A4053" t="s">
        <v>20</v>
      </c>
      <c r="B4053" t="s">
        <v>65</v>
      </c>
      <c r="U4053">
        <v>29.636319999999998</v>
      </c>
    </row>
    <row r="4054" spans="1:21" x14ac:dyDescent="0.35">
      <c r="A4054" t="s">
        <v>20</v>
      </c>
      <c r="B4054" t="s">
        <v>66</v>
      </c>
      <c r="U4054">
        <v>23.774978181818181</v>
      </c>
    </row>
    <row r="4055" spans="1:21" x14ac:dyDescent="0.35">
      <c r="A4055" t="s">
        <v>20</v>
      </c>
      <c r="B4055" t="s">
        <v>47</v>
      </c>
      <c r="U4055">
        <v>120.80956363636363</v>
      </c>
    </row>
    <row r="4056" spans="1:21" x14ac:dyDescent="0.35">
      <c r="A4056" t="s">
        <v>21</v>
      </c>
      <c r="B4056" t="s">
        <v>61</v>
      </c>
      <c r="U4056">
        <v>0</v>
      </c>
    </row>
    <row r="4057" spans="1:21" x14ac:dyDescent="0.35">
      <c r="A4057" t="s">
        <v>21</v>
      </c>
      <c r="B4057" t="s">
        <v>62</v>
      </c>
      <c r="U4057">
        <v>628.005</v>
      </c>
    </row>
    <row r="4058" spans="1:21" x14ac:dyDescent="0.35">
      <c r="A4058" t="s">
        <v>21</v>
      </c>
      <c r="B4058" t="s">
        <v>63</v>
      </c>
      <c r="U4058">
        <v>679.61559272727266</v>
      </c>
    </row>
    <row r="4059" spans="1:21" x14ac:dyDescent="0.35">
      <c r="A4059" t="s">
        <v>21</v>
      </c>
      <c r="B4059" t="s">
        <v>64</v>
      </c>
      <c r="U4059">
        <v>840.38487272727275</v>
      </c>
    </row>
    <row r="4060" spans="1:21" x14ac:dyDescent="0.35">
      <c r="A4060" t="s">
        <v>21</v>
      </c>
      <c r="B4060" t="s">
        <v>65</v>
      </c>
      <c r="U4060">
        <v>944.51951999999994</v>
      </c>
    </row>
    <row r="4061" spans="1:21" x14ac:dyDescent="0.35">
      <c r="A4061" t="s">
        <v>21</v>
      </c>
      <c r="B4061" t="s">
        <v>66</v>
      </c>
      <c r="U4061">
        <v>757.71657818181802</v>
      </c>
    </row>
    <row r="4062" spans="1:21" x14ac:dyDescent="0.35">
      <c r="A4062" t="s">
        <v>21</v>
      </c>
      <c r="B4062" t="s">
        <v>47</v>
      </c>
      <c r="U4062">
        <v>3850.2415636363635</v>
      </c>
    </row>
    <row r="4063" spans="1:21" x14ac:dyDescent="0.35">
      <c r="A4063" t="s">
        <v>22</v>
      </c>
      <c r="B4063" t="s">
        <v>61</v>
      </c>
      <c r="U4063">
        <v>0</v>
      </c>
    </row>
    <row r="4064" spans="1:21" x14ac:dyDescent="0.35">
      <c r="A4064" t="s">
        <v>22</v>
      </c>
      <c r="B4064" t="s">
        <v>62</v>
      </c>
      <c r="U4064">
        <v>1281.7350000000001</v>
      </c>
    </row>
    <row r="4065" spans="1:21" x14ac:dyDescent="0.35">
      <c r="A4065" t="s">
        <v>22</v>
      </c>
      <c r="B4065" t="s">
        <v>63</v>
      </c>
      <c r="U4065">
        <v>1387.0703127272727</v>
      </c>
    </row>
    <row r="4066" spans="1:21" x14ac:dyDescent="0.35">
      <c r="A4066" t="s">
        <v>22</v>
      </c>
      <c r="B4066" t="s">
        <v>64</v>
      </c>
      <c r="U4066">
        <v>1715.1944727272728</v>
      </c>
    </row>
    <row r="4067" spans="1:21" x14ac:dyDescent="0.35">
      <c r="A4067" t="s">
        <v>22</v>
      </c>
      <c r="B4067" t="s">
        <v>65</v>
      </c>
      <c r="U4067">
        <v>1927.7294400000003</v>
      </c>
    </row>
    <row r="4068" spans="1:21" x14ac:dyDescent="0.35">
      <c r="A4068" t="s">
        <v>22</v>
      </c>
      <c r="B4068" t="s">
        <v>66</v>
      </c>
      <c r="U4068">
        <v>1546.4715381818182</v>
      </c>
    </row>
    <row r="4069" spans="1:21" x14ac:dyDescent="0.35">
      <c r="A4069" t="s">
        <v>22</v>
      </c>
      <c r="B4069" t="s">
        <v>47</v>
      </c>
      <c r="U4069">
        <v>7858.2007636363633</v>
      </c>
    </row>
    <row r="4070" spans="1:21" x14ac:dyDescent="0.35">
      <c r="A4070" t="s">
        <v>23</v>
      </c>
      <c r="B4070" t="s">
        <v>61</v>
      </c>
      <c r="U4070">
        <v>0</v>
      </c>
    </row>
    <row r="4071" spans="1:21" x14ac:dyDescent="0.35">
      <c r="A4071" t="s">
        <v>23</v>
      </c>
      <c r="B4071" t="s">
        <v>62</v>
      </c>
      <c r="U4071">
        <v>372.40000000000003</v>
      </c>
    </row>
    <row r="4072" spans="1:21" x14ac:dyDescent="0.35">
      <c r="A4072" t="s">
        <v>23</v>
      </c>
      <c r="B4072" t="s">
        <v>63</v>
      </c>
      <c r="U4072">
        <v>403.0045090909091</v>
      </c>
    </row>
    <row r="4073" spans="1:21" x14ac:dyDescent="0.35">
      <c r="A4073" t="s">
        <v>23</v>
      </c>
      <c r="B4073" t="s">
        <v>64</v>
      </c>
      <c r="U4073">
        <v>498.33890909090917</v>
      </c>
    </row>
    <row r="4074" spans="1:21" x14ac:dyDescent="0.35">
      <c r="A4074" t="s">
        <v>23</v>
      </c>
      <c r="B4074" t="s">
        <v>65</v>
      </c>
      <c r="U4074">
        <v>560.08960000000002</v>
      </c>
    </row>
    <row r="4075" spans="1:21" x14ac:dyDescent="0.35">
      <c r="A4075" t="s">
        <v>23</v>
      </c>
      <c r="B4075" t="s">
        <v>66</v>
      </c>
      <c r="U4075">
        <v>449.31752727272732</v>
      </c>
    </row>
    <row r="4076" spans="1:21" x14ac:dyDescent="0.35">
      <c r="A4076" t="s">
        <v>23</v>
      </c>
      <c r="B4076" t="s">
        <v>47</v>
      </c>
      <c r="U4076">
        <v>2283.1505454545459</v>
      </c>
    </row>
    <row r="4077" spans="1:21" x14ac:dyDescent="0.35">
      <c r="A4077" t="s">
        <v>24</v>
      </c>
      <c r="B4077" t="s">
        <v>61</v>
      </c>
      <c r="U4077">
        <v>0</v>
      </c>
    </row>
    <row r="4078" spans="1:21" x14ac:dyDescent="0.35">
      <c r="A4078" t="s">
        <v>24</v>
      </c>
      <c r="B4078" t="s">
        <v>62</v>
      </c>
      <c r="U4078">
        <v>667.38</v>
      </c>
    </row>
    <row r="4079" spans="1:21" x14ac:dyDescent="0.35">
      <c r="A4079" t="s">
        <v>24</v>
      </c>
      <c r="B4079" t="s">
        <v>63</v>
      </c>
      <c r="U4079">
        <v>722.22650181818176</v>
      </c>
    </row>
    <row r="4080" spans="1:21" x14ac:dyDescent="0.35">
      <c r="A4080" t="s">
        <v>24</v>
      </c>
      <c r="B4080" t="s">
        <v>64</v>
      </c>
      <c r="U4080">
        <v>893.07578181818178</v>
      </c>
    </row>
    <row r="4081" spans="1:21" x14ac:dyDescent="0.35">
      <c r="A4081" t="s">
        <v>24</v>
      </c>
      <c r="B4081" t="s">
        <v>65</v>
      </c>
      <c r="U4081">
        <v>1003.73952</v>
      </c>
    </row>
    <row r="4082" spans="1:21" x14ac:dyDescent="0.35">
      <c r="A4082" t="s">
        <v>24</v>
      </c>
      <c r="B4082" t="s">
        <v>66</v>
      </c>
      <c r="U4082">
        <v>805.2243054545454</v>
      </c>
    </row>
    <row r="4083" spans="1:21" x14ac:dyDescent="0.35">
      <c r="A4083" t="s">
        <v>24</v>
      </c>
      <c r="B4083" t="s">
        <v>47</v>
      </c>
      <c r="U4083">
        <v>4091.6461090909088</v>
      </c>
    </row>
    <row r="4084" spans="1:21" x14ac:dyDescent="0.35">
      <c r="A4084" t="s">
        <v>25</v>
      </c>
      <c r="B4084" t="s">
        <v>61</v>
      </c>
      <c r="U4084">
        <v>0</v>
      </c>
    </row>
    <row r="4085" spans="1:21" x14ac:dyDescent="0.35">
      <c r="A4085" t="s">
        <v>25</v>
      </c>
      <c r="B4085" t="s">
        <v>62</v>
      </c>
      <c r="U4085">
        <v>189.875</v>
      </c>
    </row>
    <row r="4086" spans="1:21" x14ac:dyDescent="0.35">
      <c r="A4086" t="s">
        <v>25</v>
      </c>
      <c r="B4086" t="s">
        <v>63</v>
      </c>
      <c r="U4086">
        <v>205.47927272727273</v>
      </c>
    </row>
    <row r="4087" spans="1:21" x14ac:dyDescent="0.35">
      <c r="A4087" t="s">
        <v>25</v>
      </c>
      <c r="B4087" t="s">
        <v>64</v>
      </c>
      <c r="U4087">
        <v>254.08727272727273</v>
      </c>
    </row>
    <row r="4088" spans="1:21" x14ac:dyDescent="0.35">
      <c r="A4088" t="s">
        <v>25</v>
      </c>
      <c r="B4088" t="s">
        <v>65</v>
      </c>
      <c r="U4088">
        <v>285.572</v>
      </c>
    </row>
    <row r="4089" spans="1:21" x14ac:dyDescent="0.35">
      <c r="A4089" t="s">
        <v>25</v>
      </c>
      <c r="B4089" t="s">
        <v>66</v>
      </c>
      <c r="U4089">
        <v>229.09281818181819</v>
      </c>
    </row>
    <row r="4090" spans="1:21" x14ac:dyDescent="0.35">
      <c r="A4090" t="s">
        <v>25</v>
      </c>
      <c r="B4090" t="s">
        <v>47</v>
      </c>
      <c r="U4090">
        <v>1164.1063636363638</v>
      </c>
    </row>
    <row r="4091" spans="1:21" x14ac:dyDescent="0.35">
      <c r="A4091" t="s">
        <v>26</v>
      </c>
      <c r="B4091" t="s">
        <v>61</v>
      </c>
      <c r="U4091">
        <v>0</v>
      </c>
    </row>
    <row r="4092" spans="1:21" x14ac:dyDescent="0.35">
      <c r="A4092" t="s">
        <v>26</v>
      </c>
      <c r="B4092" t="s">
        <v>62</v>
      </c>
      <c r="U4092">
        <v>74.34</v>
      </c>
    </row>
    <row r="4093" spans="1:21" x14ac:dyDescent="0.35">
      <c r="A4093" t="s">
        <v>26</v>
      </c>
      <c r="B4093" t="s">
        <v>63</v>
      </c>
      <c r="U4093">
        <v>80.449396363636353</v>
      </c>
    </row>
    <row r="4094" spans="1:21" x14ac:dyDescent="0.35">
      <c r="A4094" t="s">
        <v>26</v>
      </c>
      <c r="B4094" t="s">
        <v>64</v>
      </c>
      <c r="U4094">
        <v>99.480436363636372</v>
      </c>
    </row>
    <row r="4095" spans="1:21" x14ac:dyDescent="0.35">
      <c r="A4095" t="s">
        <v>26</v>
      </c>
      <c r="B4095" t="s">
        <v>65</v>
      </c>
      <c r="U4095">
        <v>111.80736</v>
      </c>
    </row>
    <row r="4096" spans="1:21" x14ac:dyDescent="0.35">
      <c r="A4096" t="s">
        <v>26</v>
      </c>
      <c r="B4096" t="s">
        <v>66</v>
      </c>
      <c r="U4096">
        <v>89.694589090909091</v>
      </c>
    </row>
    <row r="4097" spans="1:21" x14ac:dyDescent="0.35">
      <c r="A4097" t="s">
        <v>26</v>
      </c>
      <c r="B4097" t="s">
        <v>47</v>
      </c>
      <c r="U4097">
        <v>455.77178181818181</v>
      </c>
    </row>
    <row r="4098" spans="1:21" x14ac:dyDescent="0.35">
      <c r="A4098" t="s">
        <v>27</v>
      </c>
      <c r="B4098" t="s">
        <v>61</v>
      </c>
      <c r="U4098">
        <v>0</v>
      </c>
    </row>
    <row r="4099" spans="1:21" x14ac:dyDescent="0.35">
      <c r="A4099" t="s">
        <v>27</v>
      </c>
      <c r="B4099" t="s">
        <v>62</v>
      </c>
      <c r="U4099">
        <v>1701.6999999999998</v>
      </c>
    </row>
    <row r="4100" spans="1:21" x14ac:dyDescent="0.35">
      <c r="A4100" t="s">
        <v>27</v>
      </c>
      <c r="B4100" t="s">
        <v>63</v>
      </c>
      <c r="U4100">
        <v>1841.5487999999998</v>
      </c>
    </row>
    <row r="4101" spans="1:21" x14ac:dyDescent="0.35">
      <c r="A4101" t="s">
        <v>27</v>
      </c>
      <c r="B4101" t="s">
        <v>64</v>
      </c>
      <c r="U4101">
        <v>2277.1839999999997</v>
      </c>
    </row>
    <row r="4102" spans="1:21" x14ac:dyDescent="0.35">
      <c r="A4102" t="s">
        <v>27</v>
      </c>
      <c r="B4102" t="s">
        <v>65</v>
      </c>
      <c r="U4102">
        <v>2559.3567999999996</v>
      </c>
    </row>
    <row r="4103" spans="1:21" x14ac:dyDescent="0.35">
      <c r="A4103" t="s">
        <v>27</v>
      </c>
      <c r="B4103" t="s">
        <v>66</v>
      </c>
      <c r="U4103">
        <v>2053.1783999999998</v>
      </c>
    </row>
    <row r="4104" spans="1:21" x14ac:dyDescent="0.35">
      <c r="A4104" t="s">
        <v>27</v>
      </c>
      <c r="B4104" t="s">
        <v>47</v>
      </c>
      <c r="U4104">
        <v>10432.967999999997</v>
      </c>
    </row>
    <row r="4105" spans="1:21" x14ac:dyDescent="0.35">
      <c r="A4105" t="s">
        <v>28</v>
      </c>
      <c r="B4105" t="s">
        <v>61</v>
      </c>
      <c r="U4105">
        <v>0</v>
      </c>
    </row>
    <row r="4106" spans="1:21" x14ac:dyDescent="0.35">
      <c r="A4106" t="s">
        <v>28</v>
      </c>
      <c r="B4106" t="s">
        <v>62</v>
      </c>
      <c r="U4106">
        <v>369.32</v>
      </c>
    </row>
    <row r="4107" spans="1:21" x14ac:dyDescent="0.35">
      <c r="A4107" t="s">
        <v>28</v>
      </c>
      <c r="B4107" t="s">
        <v>63</v>
      </c>
      <c r="U4107">
        <v>399.67138909090903</v>
      </c>
    </row>
    <row r="4108" spans="1:21" x14ac:dyDescent="0.35">
      <c r="A4108" t="s">
        <v>28</v>
      </c>
      <c r="B4108" t="s">
        <v>64</v>
      </c>
      <c r="U4108">
        <v>494.21730909090911</v>
      </c>
    </row>
    <row r="4109" spans="1:21" x14ac:dyDescent="0.35">
      <c r="A4109" t="s">
        <v>28</v>
      </c>
      <c r="B4109" t="s">
        <v>65</v>
      </c>
      <c r="U4109">
        <v>555.45727999999997</v>
      </c>
    </row>
    <row r="4110" spans="1:21" x14ac:dyDescent="0.35">
      <c r="A4110" t="s">
        <v>28</v>
      </c>
      <c r="B4110" t="s">
        <v>66</v>
      </c>
      <c r="U4110">
        <v>445.6013672727272</v>
      </c>
    </row>
    <row r="4111" spans="1:21" x14ac:dyDescent="0.35">
      <c r="A4111" t="s">
        <v>28</v>
      </c>
      <c r="B4111" t="s">
        <v>47</v>
      </c>
      <c r="U4111">
        <v>2264.2673454545452</v>
      </c>
    </row>
    <row r="4112" spans="1:21" x14ac:dyDescent="0.35">
      <c r="A4112" t="s">
        <v>29</v>
      </c>
      <c r="B4112" t="s">
        <v>72</v>
      </c>
      <c r="U4112">
        <v>0</v>
      </c>
    </row>
    <row r="4113" spans="1:22" x14ac:dyDescent="0.35">
      <c r="A4113" t="s">
        <v>29</v>
      </c>
      <c r="B4113" t="s">
        <v>61</v>
      </c>
      <c r="U4113">
        <v>0</v>
      </c>
    </row>
    <row r="4114" spans="1:22" x14ac:dyDescent="0.35">
      <c r="A4114" t="s">
        <v>29</v>
      </c>
      <c r="B4114" t="s">
        <v>62</v>
      </c>
      <c r="U4114">
        <v>15725.465</v>
      </c>
    </row>
    <row r="4115" spans="1:22" x14ac:dyDescent="0.35">
      <c r="A4115" t="s">
        <v>29</v>
      </c>
      <c r="B4115" t="s">
        <v>63</v>
      </c>
      <c r="U4115">
        <v>17017.812305454543</v>
      </c>
    </row>
    <row r="4116" spans="1:22" x14ac:dyDescent="0.35">
      <c r="A4116" t="s">
        <v>29</v>
      </c>
      <c r="B4116" t="s">
        <v>64</v>
      </c>
      <c r="U4116">
        <v>21043.531345454543</v>
      </c>
    </row>
    <row r="4117" spans="1:22" x14ac:dyDescent="0.35">
      <c r="A4117" t="s">
        <v>29</v>
      </c>
      <c r="B4117" t="s">
        <v>65</v>
      </c>
      <c r="U4117">
        <v>23651.099359999997</v>
      </c>
    </row>
    <row r="4118" spans="1:22" x14ac:dyDescent="0.35">
      <c r="A4118" t="s">
        <v>29</v>
      </c>
      <c r="B4118" t="s">
        <v>66</v>
      </c>
      <c r="U4118">
        <v>18973.488316363637</v>
      </c>
    </row>
    <row r="4119" spans="1:22" x14ac:dyDescent="0.35">
      <c r="A4119" t="s">
        <v>29</v>
      </c>
      <c r="B4119" t="s">
        <v>47</v>
      </c>
      <c r="U4119">
        <v>96411.396327272727</v>
      </c>
    </row>
    <row r="4120" spans="1:22" x14ac:dyDescent="0.35">
      <c r="A4120" t="s">
        <v>2</v>
      </c>
      <c r="B4120" t="s">
        <v>72</v>
      </c>
      <c r="V4120">
        <v>247.26599999999999</v>
      </c>
    </row>
    <row r="4121" spans="1:22" x14ac:dyDescent="0.35">
      <c r="A4121" t="s">
        <v>2</v>
      </c>
      <c r="B4121" t="s">
        <v>61</v>
      </c>
      <c r="V4121">
        <v>357.16199999999998</v>
      </c>
    </row>
    <row r="4122" spans="1:22" x14ac:dyDescent="0.35">
      <c r="A4122" t="s">
        <v>2</v>
      </c>
      <c r="B4122" t="s">
        <v>62</v>
      </c>
      <c r="V4122">
        <v>412.10999999999996</v>
      </c>
    </row>
    <row r="4123" spans="1:22" x14ac:dyDescent="0.35">
      <c r="A4123" t="s">
        <v>2</v>
      </c>
      <c r="B4123" t="s">
        <v>63</v>
      </c>
      <c r="V4123">
        <v>412.10999999999996</v>
      </c>
    </row>
    <row r="4124" spans="1:22" x14ac:dyDescent="0.35">
      <c r="A4124" t="s">
        <v>2</v>
      </c>
      <c r="B4124" t="s">
        <v>64</v>
      </c>
      <c r="V4124">
        <v>412.10999999999996</v>
      </c>
    </row>
    <row r="4125" spans="1:22" x14ac:dyDescent="0.35">
      <c r="A4125" t="s">
        <v>2</v>
      </c>
      <c r="B4125" t="s">
        <v>65</v>
      </c>
      <c r="V4125">
        <v>412.10999999999996</v>
      </c>
    </row>
    <row r="4126" spans="1:22" x14ac:dyDescent="0.35">
      <c r="A4126" t="s">
        <v>2</v>
      </c>
      <c r="B4126" t="s">
        <v>66</v>
      </c>
      <c r="V4126">
        <v>412.10999999999996</v>
      </c>
    </row>
    <row r="4127" spans="1:22" x14ac:dyDescent="0.35">
      <c r="A4127" t="s">
        <v>2</v>
      </c>
      <c r="B4127" t="s">
        <v>47</v>
      </c>
      <c r="V4127">
        <v>2664.9780000000001</v>
      </c>
    </row>
    <row r="4128" spans="1:22" x14ac:dyDescent="0.35">
      <c r="A4128" t="s">
        <v>3</v>
      </c>
      <c r="B4128" t="s">
        <v>72</v>
      </c>
      <c r="V4128">
        <v>319.05899999999997</v>
      </c>
    </row>
    <row r="4129" spans="1:22" x14ac:dyDescent="0.35">
      <c r="A4129" t="s">
        <v>3</v>
      </c>
      <c r="B4129" t="s">
        <v>61</v>
      </c>
      <c r="V4129">
        <v>460.863</v>
      </c>
    </row>
    <row r="4130" spans="1:22" x14ac:dyDescent="0.35">
      <c r="A4130" t="s">
        <v>3</v>
      </c>
      <c r="B4130" t="s">
        <v>62</v>
      </c>
      <c r="V4130">
        <v>531.76499999999999</v>
      </c>
    </row>
    <row r="4131" spans="1:22" x14ac:dyDescent="0.35">
      <c r="A4131" t="s">
        <v>3</v>
      </c>
      <c r="B4131" t="s">
        <v>63</v>
      </c>
      <c r="V4131">
        <v>531.76499999999999</v>
      </c>
    </row>
    <row r="4132" spans="1:22" x14ac:dyDescent="0.35">
      <c r="A4132" t="s">
        <v>3</v>
      </c>
      <c r="B4132" t="s">
        <v>64</v>
      </c>
      <c r="V4132">
        <v>531.76499999999999</v>
      </c>
    </row>
    <row r="4133" spans="1:22" x14ac:dyDescent="0.35">
      <c r="A4133" t="s">
        <v>3</v>
      </c>
      <c r="B4133" t="s">
        <v>65</v>
      </c>
      <c r="V4133">
        <v>531.76499999999999</v>
      </c>
    </row>
    <row r="4134" spans="1:22" x14ac:dyDescent="0.35">
      <c r="A4134" t="s">
        <v>3</v>
      </c>
      <c r="B4134" t="s">
        <v>66</v>
      </c>
      <c r="V4134">
        <v>531.76499999999999</v>
      </c>
    </row>
    <row r="4135" spans="1:22" x14ac:dyDescent="0.35">
      <c r="A4135" t="s">
        <v>3</v>
      </c>
      <c r="B4135" t="s">
        <v>47</v>
      </c>
      <c r="V4135">
        <v>3438.7469999999994</v>
      </c>
    </row>
    <row r="4136" spans="1:22" x14ac:dyDescent="0.35">
      <c r="A4136" t="s">
        <v>4</v>
      </c>
      <c r="B4136" t="s">
        <v>72</v>
      </c>
      <c r="V4136">
        <v>174.01500000000001</v>
      </c>
    </row>
    <row r="4137" spans="1:22" x14ac:dyDescent="0.35">
      <c r="A4137" t="s">
        <v>4</v>
      </c>
      <c r="B4137" t="s">
        <v>61</v>
      </c>
      <c r="V4137">
        <v>251.35500000000002</v>
      </c>
    </row>
    <row r="4138" spans="1:22" x14ac:dyDescent="0.35">
      <c r="A4138" t="s">
        <v>4</v>
      </c>
      <c r="B4138" t="s">
        <v>62</v>
      </c>
      <c r="V4138">
        <v>290.02500000000003</v>
      </c>
    </row>
    <row r="4139" spans="1:22" x14ac:dyDescent="0.35">
      <c r="A4139" t="s">
        <v>4</v>
      </c>
      <c r="B4139" t="s">
        <v>63</v>
      </c>
      <c r="V4139">
        <v>290.02500000000003</v>
      </c>
    </row>
    <row r="4140" spans="1:22" x14ac:dyDescent="0.35">
      <c r="A4140" t="s">
        <v>4</v>
      </c>
      <c r="B4140" t="s">
        <v>64</v>
      </c>
      <c r="V4140">
        <v>290.02500000000003</v>
      </c>
    </row>
    <row r="4141" spans="1:22" x14ac:dyDescent="0.35">
      <c r="A4141" t="s">
        <v>4</v>
      </c>
      <c r="B4141" t="s">
        <v>65</v>
      </c>
      <c r="V4141">
        <v>290.02500000000003</v>
      </c>
    </row>
    <row r="4142" spans="1:22" x14ac:dyDescent="0.35">
      <c r="A4142" t="s">
        <v>4</v>
      </c>
      <c r="B4142" t="s">
        <v>66</v>
      </c>
      <c r="V4142">
        <v>290.02500000000003</v>
      </c>
    </row>
    <row r="4143" spans="1:22" x14ac:dyDescent="0.35">
      <c r="A4143" t="s">
        <v>4</v>
      </c>
      <c r="B4143" t="s">
        <v>47</v>
      </c>
      <c r="V4143">
        <v>1875.4950000000003</v>
      </c>
    </row>
    <row r="4144" spans="1:22" x14ac:dyDescent="0.35">
      <c r="A4144" t="s">
        <v>5</v>
      </c>
      <c r="B4144" t="s">
        <v>72</v>
      </c>
      <c r="V4144">
        <v>104.274</v>
      </c>
    </row>
    <row r="4145" spans="1:22" x14ac:dyDescent="0.35">
      <c r="A4145" t="s">
        <v>5</v>
      </c>
      <c r="B4145" t="s">
        <v>61</v>
      </c>
      <c r="V4145">
        <v>150.61799999999999</v>
      </c>
    </row>
    <row r="4146" spans="1:22" x14ac:dyDescent="0.35">
      <c r="A4146" t="s">
        <v>5</v>
      </c>
      <c r="B4146" t="s">
        <v>62</v>
      </c>
      <c r="V4146">
        <v>173.79000000000002</v>
      </c>
    </row>
    <row r="4147" spans="1:22" x14ac:dyDescent="0.35">
      <c r="A4147" t="s">
        <v>5</v>
      </c>
      <c r="B4147" t="s">
        <v>63</v>
      </c>
      <c r="V4147">
        <v>173.79000000000002</v>
      </c>
    </row>
    <row r="4148" spans="1:22" x14ac:dyDescent="0.35">
      <c r="A4148" t="s">
        <v>5</v>
      </c>
      <c r="B4148" t="s">
        <v>64</v>
      </c>
      <c r="V4148">
        <v>173.79000000000002</v>
      </c>
    </row>
    <row r="4149" spans="1:22" x14ac:dyDescent="0.35">
      <c r="A4149" t="s">
        <v>5</v>
      </c>
      <c r="B4149" t="s">
        <v>65</v>
      </c>
      <c r="V4149">
        <v>173.79000000000002</v>
      </c>
    </row>
    <row r="4150" spans="1:22" x14ac:dyDescent="0.35">
      <c r="A4150" t="s">
        <v>5</v>
      </c>
      <c r="B4150" t="s">
        <v>66</v>
      </c>
      <c r="V4150">
        <v>173.79000000000002</v>
      </c>
    </row>
    <row r="4151" spans="1:22" x14ac:dyDescent="0.35">
      <c r="A4151" t="s">
        <v>5</v>
      </c>
      <c r="B4151" t="s">
        <v>47</v>
      </c>
      <c r="V4151">
        <v>1123.8419999999999</v>
      </c>
    </row>
    <row r="4152" spans="1:22" x14ac:dyDescent="0.35">
      <c r="A4152" t="s">
        <v>6</v>
      </c>
      <c r="B4152" t="s">
        <v>72</v>
      </c>
      <c r="V4152">
        <v>26.082000000000001</v>
      </c>
    </row>
    <row r="4153" spans="1:22" x14ac:dyDescent="0.35">
      <c r="A4153" t="s">
        <v>6</v>
      </c>
      <c r="B4153" t="s">
        <v>61</v>
      </c>
      <c r="V4153">
        <v>37.673999999999999</v>
      </c>
    </row>
    <row r="4154" spans="1:22" x14ac:dyDescent="0.35">
      <c r="A4154" t="s">
        <v>6</v>
      </c>
      <c r="B4154" t="s">
        <v>62</v>
      </c>
      <c r="V4154">
        <v>43.47</v>
      </c>
    </row>
    <row r="4155" spans="1:22" x14ac:dyDescent="0.35">
      <c r="A4155" t="s">
        <v>6</v>
      </c>
      <c r="B4155" t="s">
        <v>63</v>
      </c>
      <c r="V4155">
        <v>43.47</v>
      </c>
    </row>
    <row r="4156" spans="1:22" x14ac:dyDescent="0.35">
      <c r="A4156" t="s">
        <v>6</v>
      </c>
      <c r="B4156" t="s">
        <v>64</v>
      </c>
      <c r="V4156">
        <v>43.47</v>
      </c>
    </row>
    <row r="4157" spans="1:22" x14ac:dyDescent="0.35">
      <c r="A4157" t="s">
        <v>6</v>
      </c>
      <c r="B4157" t="s">
        <v>65</v>
      </c>
      <c r="V4157">
        <v>43.47</v>
      </c>
    </row>
    <row r="4158" spans="1:22" x14ac:dyDescent="0.35">
      <c r="A4158" t="s">
        <v>6</v>
      </c>
      <c r="B4158" t="s">
        <v>66</v>
      </c>
      <c r="V4158">
        <v>43.47</v>
      </c>
    </row>
    <row r="4159" spans="1:22" x14ac:dyDescent="0.35">
      <c r="A4159" t="s">
        <v>6</v>
      </c>
      <c r="B4159" t="s">
        <v>47</v>
      </c>
      <c r="V4159">
        <v>281.10599999999999</v>
      </c>
    </row>
    <row r="4160" spans="1:22" x14ac:dyDescent="0.35">
      <c r="A4160" t="s">
        <v>7</v>
      </c>
      <c r="B4160" t="s">
        <v>72</v>
      </c>
      <c r="V4160">
        <v>294.327</v>
      </c>
    </row>
    <row r="4161" spans="1:22" x14ac:dyDescent="0.35">
      <c r="A4161" t="s">
        <v>7</v>
      </c>
      <c r="B4161" t="s">
        <v>61</v>
      </c>
      <c r="V4161">
        <v>425.13900000000001</v>
      </c>
    </row>
    <row r="4162" spans="1:22" x14ac:dyDescent="0.35">
      <c r="A4162" t="s">
        <v>7</v>
      </c>
      <c r="B4162" t="s">
        <v>62</v>
      </c>
      <c r="V4162">
        <v>490.54499999999996</v>
      </c>
    </row>
    <row r="4163" spans="1:22" x14ac:dyDescent="0.35">
      <c r="A4163" t="s">
        <v>7</v>
      </c>
      <c r="B4163" t="s">
        <v>63</v>
      </c>
      <c r="V4163">
        <v>490.54499999999996</v>
      </c>
    </row>
    <row r="4164" spans="1:22" x14ac:dyDescent="0.35">
      <c r="A4164" t="s">
        <v>7</v>
      </c>
      <c r="B4164" t="s">
        <v>64</v>
      </c>
      <c r="V4164">
        <v>490.54499999999996</v>
      </c>
    </row>
    <row r="4165" spans="1:22" x14ac:dyDescent="0.35">
      <c r="A4165" t="s">
        <v>7</v>
      </c>
      <c r="B4165" t="s">
        <v>65</v>
      </c>
      <c r="V4165">
        <v>490.54499999999996</v>
      </c>
    </row>
    <row r="4166" spans="1:22" x14ac:dyDescent="0.35">
      <c r="A4166" t="s">
        <v>7</v>
      </c>
      <c r="B4166" t="s">
        <v>66</v>
      </c>
      <c r="V4166">
        <v>490.54499999999996</v>
      </c>
    </row>
    <row r="4167" spans="1:22" x14ac:dyDescent="0.35">
      <c r="A4167" t="s">
        <v>7</v>
      </c>
      <c r="B4167" t="s">
        <v>47</v>
      </c>
      <c r="V4167">
        <v>3172.1910000000003</v>
      </c>
    </row>
    <row r="4168" spans="1:22" x14ac:dyDescent="0.35">
      <c r="A4168" t="s">
        <v>8</v>
      </c>
      <c r="B4168" t="s">
        <v>72</v>
      </c>
      <c r="V4168">
        <v>160.947</v>
      </c>
    </row>
    <row r="4169" spans="1:22" x14ac:dyDescent="0.35">
      <c r="A4169" t="s">
        <v>8</v>
      </c>
      <c r="B4169" t="s">
        <v>61</v>
      </c>
      <c r="V4169">
        <v>232.47900000000001</v>
      </c>
    </row>
    <row r="4170" spans="1:22" x14ac:dyDescent="0.35">
      <c r="A4170" t="s">
        <v>8</v>
      </c>
      <c r="B4170" t="s">
        <v>62</v>
      </c>
      <c r="V4170">
        <v>268.245</v>
      </c>
    </row>
    <row r="4171" spans="1:22" x14ac:dyDescent="0.35">
      <c r="A4171" t="s">
        <v>8</v>
      </c>
      <c r="B4171" t="s">
        <v>63</v>
      </c>
      <c r="V4171">
        <v>268.245</v>
      </c>
    </row>
    <row r="4172" spans="1:22" x14ac:dyDescent="0.35">
      <c r="A4172" t="s">
        <v>8</v>
      </c>
      <c r="B4172" t="s">
        <v>64</v>
      </c>
      <c r="V4172">
        <v>268.245</v>
      </c>
    </row>
    <row r="4173" spans="1:22" x14ac:dyDescent="0.35">
      <c r="A4173" t="s">
        <v>8</v>
      </c>
      <c r="B4173" t="s">
        <v>65</v>
      </c>
      <c r="V4173">
        <v>268.245</v>
      </c>
    </row>
    <row r="4174" spans="1:22" x14ac:dyDescent="0.35">
      <c r="A4174" t="s">
        <v>8</v>
      </c>
      <c r="B4174" t="s">
        <v>66</v>
      </c>
      <c r="V4174">
        <v>268.245</v>
      </c>
    </row>
    <row r="4175" spans="1:22" x14ac:dyDescent="0.35">
      <c r="A4175" t="s">
        <v>8</v>
      </c>
      <c r="B4175" t="s">
        <v>47</v>
      </c>
      <c r="V4175">
        <v>1734.6509999999998</v>
      </c>
    </row>
    <row r="4176" spans="1:22" x14ac:dyDescent="0.35">
      <c r="A4176" t="s">
        <v>9</v>
      </c>
      <c r="B4176" t="s">
        <v>72</v>
      </c>
      <c r="V4176">
        <v>37.125</v>
      </c>
    </row>
    <row r="4177" spans="1:22" x14ac:dyDescent="0.35">
      <c r="A4177" t="s">
        <v>9</v>
      </c>
      <c r="B4177" t="s">
        <v>61</v>
      </c>
      <c r="V4177">
        <v>53.625</v>
      </c>
    </row>
    <row r="4178" spans="1:22" x14ac:dyDescent="0.35">
      <c r="A4178" t="s">
        <v>9</v>
      </c>
      <c r="B4178" t="s">
        <v>62</v>
      </c>
      <c r="V4178">
        <v>61.875</v>
      </c>
    </row>
    <row r="4179" spans="1:22" x14ac:dyDescent="0.35">
      <c r="A4179" t="s">
        <v>9</v>
      </c>
      <c r="B4179" t="s">
        <v>63</v>
      </c>
      <c r="V4179">
        <v>61.875</v>
      </c>
    </row>
    <row r="4180" spans="1:22" x14ac:dyDescent="0.35">
      <c r="A4180" t="s">
        <v>9</v>
      </c>
      <c r="B4180" t="s">
        <v>64</v>
      </c>
      <c r="V4180">
        <v>61.875</v>
      </c>
    </row>
    <row r="4181" spans="1:22" x14ac:dyDescent="0.35">
      <c r="A4181" t="s">
        <v>9</v>
      </c>
      <c r="B4181" t="s">
        <v>65</v>
      </c>
      <c r="V4181">
        <v>61.875</v>
      </c>
    </row>
    <row r="4182" spans="1:22" x14ac:dyDescent="0.35">
      <c r="A4182" t="s">
        <v>9</v>
      </c>
      <c r="B4182" t="s">
        <v>66</v>
      </c>
      <c r="V4182">
        <v>61.875</v>
      </c>
    </row>
    <row r="4183" spans="1:22" x14ac:dyDescent="0.35">
      <c r="A4183" t="s">
        <v>9</v>
      </c>
      <c r="B4183" t="s">
        <v>47</v>
      </c>
      <c r="V4183">
        <v>400.125</v>
      </c>
    </row>
    <row r="4184" spans="1:22" x14ac:dyDescent="0.35">
      <c r="A4184" t="s">
        <v>10</v>
      </c>
      <c r="B4184" t="s">
        <v>72</v>
      </c>
      <c r="V4184">
        <v>151.30799999999999</v>
      </c>
    </row>
    <row r="4185" spans="1:22" x14ac:dyDescent="0.35">
      <c r="A4185" t="s">
        <v>10</v>
      </c>
      <c r="B4185" t="s">
        <v>61</v>
      </c>
      <c r="V4185">
        <v>218.55600000000001</v>
      </c>
    </row>
    <row r="4186" spans="1:22" x14ac:dyDescent="0.35">
      <c r="A4186" t="s">
        <v>10</v>
      </c>
      <c r="B4186" t="s">
        <v>62</v>
      </c>
      <c r="V4186">
        <v>252.18</v>
      </c>
    </row>
    <row r="4187" spans="1:22" x14ac:dyDescent="0.35">
      <c r="A4187" t="s">
        <v>10</v>
      </c>
      <c r="B4187" t="s">
        <v>63</v>
      </c>
      <c r="V4187">
        <v>252.18</v>
      </c>
    </row>
    <row r="4188" spans="1:22" x14ac:dyDescent="0.35">
      <c r="A4188" t="s">
        <v>10</v>
      </c>
      <c r="B4188" t="s">
        <v>64</v>
      </c>
      <c r="V4188">
        <v>252.18</v>
      </c>
    </row>
    <row r="4189" spans="1:22" x14ac:dyDescent="0.35">
      <c r="A4189" t="s">
        <v>10</v>
      </c>
      <c r="B4189" t="s">
        <v>65</v>
      </c>
      <c r="V4189">
        <v>252.18</v>
      </c>
    </row>
    <row r="4190" spans="1:22" x14ac:dyDescent="0.35">
      <c r="A4190" t="s">
        <v>10</v>
      </c>
      <c r="B4190" t="s">
        <v>66</v>
      </c>
      <c r="V4190">
        <v>252.18</v>
      </c>
    </row>
    <row r="4191" spans="1:22" x14ac:dyDescent="0.35">
      <c r="A4191" t="s">
        <v>10</v>
      </c>
      <c r="B4191" t="s">
        <v>47</v>
      </c>
      <c r="V4191">
        <v>1630.7640000000004</v>
      </c>
    </row>
    <row r="4192" spans="1:22" x14ac:dyDescent="0.35">
      <c r="A4192" t="s">
        <v>11</v>
      </c>
      <c r="B4192" t="s">
        <v>72</v>
      </c>
      <c r="V4192">
        <v>1848.6089999999999</v>
      </c>
    </row>
    <row r="4193" spans="1:22" x14ac:dyDescent="0.35">
      <c r="A4193" t="s">
        <v>11</v>
      </c>
      <c r="B4193" t="s">
        <v>61</v>
      </c>
      <c r="V4193">
        <v>2670.2130000000002</v>
      </c>
    </row>
    <row r="4194" spans="1:22" x14ac:dyDescent="0.35">
      <c r="A4194" t="s">
        <v>11</v>
      </c>
      <c r="B4194" t="s">
        <v>62</v>
      </c>
      <c r="V4194">
        <v>3081.0149999999999</v>
      </c>
    </row>
    <row r="4195" spans="1:22" x14ac:dyDescent="0.35">
      <c r="A4195" t="s">
        <v>11</v>
      </c>
      <c r="B4195" t="s">
        <v>63</v>
      </c>
      <c r="V4195">
        <v>3081.0149999999999</v>
      </c>
    </row>
    <row r="4196" spans="1:22" x14ac:dyDescent="0.35">
      <c r="A4196" t="s">
        <v>11</v>
      </c>
      <c r="B4196" t="s">
        <v>64</v>
      </c>
      <c r="V4196">
        <v>3081.0149999999999</v>
      </c>
    </row>
    <row r="4197" spans="1:22" x14ac:dyDescent="0.35">
      <c r="A4197" t="s">
        <v>11</v>
      </c>
      <c r="B4197" t="s">
        <v>65</v>
      </c>
      <c r="V4197">
        <v>3081.0149999999999</v>
      </c>
    </row>
    <row r="4198" spans="1:22" x14ac:dyDescent="0.35">
      <c r="A4198" t="s">
        <v>11</v>
      </c>
      <c r="B4198" t="s">
        <v>66</v>
      </c>
      <c r="V4198">
        <v>3081.0149999999999</v>
      </c>
    </row>
    <row r="4199" spans="1:22" x14ac:dyDescent="0.35">
      <c r="A4199" t="s">
        <v>11</v>
      </c>
      <c r="B4199" t="s">
        <v>47</v>
      </c>
      <c r="V4199">
        <v>19923.896999999997</v>
      </c>
    </row>
    <row r="4200" spans="1:22" x14ac:dyDescent="0.35">
      <c r="A4200" t="s">
        <v>12</v>
      </c>
      <c r="B4200" t="s">
        <v>72</v>
      </c>
      <c r="V4200">
        <v>2253.3120000000004</v>
      </c>
    </row>
    <row r="4201" spans="1:22" x14ac:dyDescent="0.35">
      <c r="A4201" t="s">
        <v>12</v>
      </c>
      <c r="B4201" t="s">
        <v>61</v>
      </c>
      <c r="V4201">
        <v>3254.7840000000001</v>
      </c>
    </row>
    <row r="4202" spans="1:22" x14ac:dyDescent="0.35">
      <c r="A4202" t="s">
        <v>12</v>
      </c>
      <c r="B4202" t="s">
        <v>62</v>
      </c>
      <c r="V4202">
        <v>3755.5200000000004</v>
      </c>
    </row>
    <row r="4203" spans="1:22" x14ac:dyDescent="0.35">
      <c r="A4203" t="s">
        <v>12</v>
      </c>
      <c r="B4203" t="s">
        <v>63</v>
      </c>
      <c r="V4203">
        <v>3755.5200000000004</v>
      </c>
    </row>
    <row r="4204" spans="1:22" x14ac:dyDescent="0.35">
      <c r="A4204" t="s">
        <v>12</v>
      </c>
      <c r="B4204" t="s">
        <v>64</v>
      </c>
      <c r="V4204">
        <v>3755.5200000000004</v>
      </c>
    </row>
    <row r="4205" spans="1:22" x14ac:dyDescent="0.35">
      <c r="A4205" t="s">
        <v>12</v>
      </c>
      <c r="B4205" t="s">
        <v>65</v>
      </c>
      <c r="V4205">
        <v>3755.5200000000004</v>
      </c>
    </row>
    <row r="4206" spans="1:22" x14ac:dyDescent="0.35">
      <c r="A4206" t="s">
        <v>12</v>
      </c>
      <c r="B4206" t="s">
        <v>66</v>
      </c>
      <c r="V4206">
        <v>3755.5200000000004</v>
      </c>
    </row>
    <row r="4207" spans="1:22" x14ac:dyDescent="0.35">
      <c r="A4207" t="s">
        <v>12</v>
      </c>
      <c r="B4207" t="s">
        <v>47</v>
      </c>
      <c r="V4207">
        <v>24285.696000000004</v>
      </c>
    </row>
    <row r="4208" spans="1:22" x14ac:dyDescent="0.35">
      <c r="A4208" t="s">
        <v>13</v>
      </c>
      <c r="B4208" t="s">
        <v>72</v>
      </c>
      <c r="V4208">
        <v>280.827</v>
      </c>
    </row>
    <row r="4209" spans="1:22" x14ac:dyDescent="0.35">
      <c r="A4209" t="s">
        <v>13</v>
      </c>
      <c r="B4209" t="s">
        <v>61</v>
      </c>
      <c r="V4209">
        <v>405.63900000000001</v>
      </c>
    </row>
    <row r="4210" spans="1:22" x14ac:dyDescent="0.35">
      <c r="A4210" t="s">
        <v>13</v>
      </c>
      <c r="B4210" t="s">
        <v>62</v>
      </c>
      <c r="V4210">
        <v>468.04500000000002</v>
      </c>
    </row>
    <row r="4211" spans="1:22" x14ac:dyDescent="0.35">
      <c r="A4211" t="s">
        <v>13</v>
      </c>
      <c r="B4211" t="s">
        <v>63</v>
      </c>
      <c r="V4211">
        <v>468.04500000000002</v>
      </c>
    </row>
    <row r="4212" spans="1:22" x14ac:dyDescent="0.35">
      <c r="A4212" t="s">
        <v>13</v>
      </c>
      <c r="B4212" t="s">
        <v>64</v>
      </c>
      <c r="V4212">
        <v>468.04500000000002</v>
      </c>
    </row>
    <row r="4213" spans="1:22" x14ac:dyDescent="0.35">
      <c r="A4213" t="s">
        <v>13</v>
      </c>
      <c r="B4213" t="s">
        <v>65</v>
      </c>
      <c r="V4213">
        <v>468.04500000000002</v>
      </c>
    </row>
    <row r="4214" spans="1:22" x14ac:dyDescent="0.35">
      <c r="A4214" t="s">
        <v>13</v>
      </c>
      <c r="B4214" t="s">
        <v>66</v>
      </c>
      <c r="V4214">
        <v>468.04500000000002</v>
      </c>
    </row>
    <row r="4215" spans="1:22" x14ac:dyDescent="0.35">
      <c r="A4215" t="s">
        <v>13</v>
      </c>
      <c r="B4215" t="s">
        <v>47</v>
      </c>
      <c r="V4215">
        <v>3026.6910000000003</v>
      </c>
    </row>
    <row r="4216" spans="1:22" x14ac:dyDescent="0.35">
      <c r="A4216" t="s">
        <v>14</v>
      </c>
      <c r="B4216" t="s">
        <v>72</v>
      </c>
      <c r="V4216">
        <v>258.79500000000002</v>
      </c>
    </row>
    <row r="4217" spans="1:22" x14ac:dyDescent="0.35">
      <c r="A4217" t="s">
        <v>14</v>
      </c>
      <c r="B4217" t="s">
        <v>61</v>
      </c>
      <c r="V4217">
        <v>373.815</v>
      </c>
    </row>
    <row r="4218" spans="1:22" x14ac:dyDescent="0.35">
      <c r="A4218" t="s">
        <v>14</v>
      </c>
      <c r="B4218" t="s">
        <v>62</v>
      </c>
      <c r="V4218">
        <v>431.32500000000005</v>
      </c>
    </row>
    <row r="4219" spans="1:22" x14ac:dyDescent="0.35">
      <c r="A4219" t="s">
        <v>14</v>
      </c>
      <c r="B4219" t="s">
        <v>63</v>
      </c>
      <c r="V4219">
        <v>431.32500000000005</v>
      </c>
    </row>
    <row r="4220" spans="1:22" x14ac:dyDescent="0.35">
      <c r="A4220" t="s">
        <v>14</v>
      </c>
      <c r="B4220" t="s">
        <v>64</v>
      </c>
      <c r="V4220">
        <v>431.32500000000005</v>
      </c>
    </row>
    <row r="4221" spans="1:22" x14ac:dyDescent="0.35">
      <c r="A4221" t="s">
        <v>14</v>
      </c>
      <c r="B4221" t="s">
        <v>65</v>
      </c>
      <c r="V4221">
        <v>431.32500000000005</v>
      </c>
    </row>
    <row r="4222" spans="1:22" x14ac:dyDescent="0.35">
      <c r="A4222" t="s">
        <v>14</v>
      </c>
      <c r="B4222" t="s">
        <v>66</v>
      </c>
      <c r="V4222">
        <v>431.32500000000005</v>
      </c>
    </row>
    <row r="4223" spans="1:22" x14ac:dyDescent="0.35">
      <c r="A4223" t="s">
        <v>14</v>
      </c>
      <c r="B4223" t="s">
        <v>47</v>
      </c>
      <c r="V4223">
        <v>2789.2349999999997</v>
      </c>
    </row>
    <row r="4224" spans="1:22" x14ac:dyDescent="0.35">
      <c r="A4224" t="s">
        <v>15</v>
      </c>
      <c r="B4224" t="s">
        <v>72</v>
      </c>
      <c r="V4224">
        <v>144.50400000000002</v>
      </c>
    </row>
    <row r="4225" spans="1:22" x14ac:dyDescent="0.35">
      <c r="A4225" t="s">
        <v>15</v>
      </c>
      <c r="B4225" t="s">
        <v>61</v>
      </c>
      <c r="V4225">
        <v>208.72800000000001</v>
      </c>
    </row>
    <row r="4226" spans="1:22" x14ac:dyDescent="0.35">
      <c r="A4226" t="s">
        <v>15</v>
      </c>
      <c r="B4226" t="s">
        <v>62</v>
      </c>
      <c r="V4226">
        <v>240.84000000000003</v>
      </c>
    </row>
    <row r="4227" spans="1:22" x14ac:dyDescent="0.35">
      <c r="A4227" t="s">
        <v>15</v>
      </c>
      <c r="B4227" t="s">
        <v>63</v>
      </c>
      <c r="V4227">
        <v>240.84000000000003</v>
      </c>
    </row>
    <row r="4228" spans="1:22" x14ac:dyDescent="0.35">
      <c r="A4228" t="s">
        <v>15</v>
      </c>
      <c r="B4228" t="s">
        <v>64</v>
      </c>
      <c r="V4228">
        <v>240.84000000000003</v>
      </c>
    </row>
    <row r="4229" spans="1:22" x14ac:dyDescent="0.35">
      <c r="A4229" t="s">
        <v>15</v>
      </c>
      <c r="B4229" t="s">
        <v>65</v>
      </c>
      <c r="V4229">
        <v>240.84000000000003</v>
      </c>
    </row>
    <row r="4230" spans="1:22" x14ac:dyDescent="0.35">
      <c r="A4230" t="s">
        <v>15</v>
      </c>
      <c r="B4230" t="s">
        <v>66</v>
      </c>
      <c r="V4230">
        <v>240.84000000000003</v>
      </c>
    </row>
    <row r="4231" spans="1:22" x14ac:dyDescent="0.35">
      <c r="A4231" t="s">
        <v>15</v>
      </c>
      <c r="B4231" t="s">
        <v>47</v>
      </c>
      <c r="V4231">
        <v>1557.4320000000002</v>
      </c>
    </row>
    <row r="4232" spans="1:22" x14ac:dyDescent="0.35">
      <c r="A4232" t="s">
        <v>16</v>
      </c>
      <c r="B4232" t="s">
        <v>72</v>
      </c>
      <c r="V4232">
        <v>1592.2169999999999</v>
      </c>
    </row>
    <row r="4233" spans="1:22" x14ac:dyDescent="0.35">
      <c r="A4233" t="s">
        <v>16</v>
      </c>
      <c r="B4233" t="s">
        <v>61</v>
      </c>
      <c r="V4233">
        <v>2299.8689999999997</v>
      </c>
    </row>
    <row r="4234" spans="1:22" x14ac:dyDescent="0.35">
      <c r="A4234" t="s">
        <v>16</v>
      </c>
      <c r="B4234" t="s">
        <v>62</v>
      </c>
      <c r="V4234">
        <v>2653.6949999999997</v>
      </c>
    </row>
    <row r="4235" spans="1:22" x14ac:dyDescent="0.35">
      <c r="A4235" t="s">
        <v>16</v>
      </c>
      <c r="B4235" t="s">
        <v>63</v>
      </c>
      <c r="V4235">
        <v>2653.6949999999997</v>
      </c>
    </row>
    <row r="4236" spans="1:22" x14ac:dyDescent="0.35">
      <c r="A4236" t="s">
        <v>16</v>
      </c>
      <c r="B4236" t="s">
        <v>64</v>
      </c>
      <c r="V4236">
        <v>2653.6949999999997</v>
      </c>
    </row>
    <row r="4237" spans="1:22" x14ac:dyDescent="0.35">
      <c r="A4237" t="s">
        <v>16</v>
      </c>
      <c r="B4237" t="s">
        <v>65</v>
      </c>
      <c r="V4237">
        <v>2653.6949999999997</v>
      </c>
    </row>
    <row r="4238" spans="1:22" x14ac:dyDescent="0.35">
      <c r="A4238" t="s">
        <v>16</v>
      </c>
      <c r="B4238" t="s">
        <v>66</v>
      </c>
      <c r="V4238">
        <v>2653.6949999999997</v>
      </c>
    </row>
    <row r="4239" spans="1:22" x14ac:dyDescent="0.35">
      <c r="A4239" t="s">
        <v>16</v>
      </c>
      <c r="B4239" t="s">
        <v>47</v>
      </c>
      <c r="V4239">
        <v>17160.560999999998</v>
      </c>
    </row>
    <row r="4240" spans="1:22" x14ac:dyDescent="0.35">
      <c r="A4240" t="s">
        <v>17</v>
      </c>
      <c r="B4240" t="s">
        <v>72</v>
      </c>
      <c r="V4240">
        <v>50.625</v>
      </c>
    </row>
    <row r="4241" spans="1:22" x14ac:dyDescent="0.35">
      <c r="A4241" t="s">
        <v>17</v>
      </c>
      <c r="B4241" t="s">
        <v>61</v>
      </c>
      <c r="V4241">
        <v>73.125</v>
      </c>
    </row>
    <row r="4242" spans="1:22" x14ac:dyDescent="0.35">
      <c r="A4242" t="s">
        <v>17</v>
      </c>
      <c r="B4242" t="s">
        <v>62</v>
      </c>
      <c r="V4242">
        <v>84.375</v>
      </c>
    </row>
    <row r="4243" spans="1:22" x14ac:dyDescent="0.35">
      <c r="A4243" t="s">
        <v>17</v>
      </c>
      <c r="B4243" t="s">
        <v>63</v>
      </c>
      <c r="V4243">
        <v>84.375</v>
      </c>
    </row>
    <row r="4244" spans="1:22" x14ac:dyDescent="0.35">
      <c r="A4244" t="s">
        <v>17</v>
      </c>
      <c r="B4244" t="s">
        <v>64</v>
      </c>
      <c r="V4244">
        <v>84.375</v>
      </c>
    </row>
    <row r="4245" spans="1:22" x14ac:dyDescent="0.35">
      <c r="A4245" t="s">
        <v>17</v>
      </c>
      <c r="B4245" t="s">
        <v>65</v>
      </c>
      <c r="V4245">
        <v>84.375</v>
      </c>
    </row>
    <row r="4246" spans="1:22" x14ac:dyDescent="0.35">
      <c r="A4246" t="s">
        <v>17</v>
      </c>
      <c r="B4246" t="s">
        <v>66</v>
      </c>
      <c r="V4246">
        <v>84.375</v>
      </c>
    </row>
    <row r="4247" spans="1:22" x14ac:dyDescent="0.35">
      <c r="A4247" t="s">
        <v>17</v>
      </c>
      <c r="B4247" t="s">
        <v>47</v>
      </c>
      <c r="V4247">
        <v>545.625</v>
      </c>
    </row>
    <row r="4248" spans="1:22" x14ac:dyDescent="0.35">
      <c r="A4248" t="s">
        <v>18</v>
      </c>
      <c r="B4248" t="s">
        <v>72</v>
      </c>
      <c r="V4248">
        <v>77.921999999999997</v>
      </c>
    </row>
    <row r="4249" spans="1:22" x14ac:dyDescent="0.35">
      <c r="A4249" t="s">
        <v>18</v>
      </c>
      <c r="B4249" t="s">
        <v>61</v>
      </c>
      <c r="V4249">
        <v>112.554</v>
      </c>
    </row>
    <row r="4250" spans="1:22" x14ac:dyDescent="0.35">
      <c r="A4250" t="s">
        <v>18</v>
      </c>
      <c r="B4250" t="s">
        <v>62</v>
      </c>
      <c r="V4250">
        <v>129.87</v>
      </c>
    </row>
    <row r="4251" spans="1:22" x14ac:dyDescent="0.35">
      <c r="A4251" t="s">
        <v>18</v>
      </c>
      <c r="B4251" t="s">
        <v>63</v>
      </c>
      <c r="V4251">
        <v>129.87</v>
      </c>
    </row>
    <row r="4252" spans="1:22" x14ac:dyDescent="0.35">
      <c r="A4252" t="s">
        <v>18</v>
      </c>
      <c r="B4252" t="s">
        <v>64</v>
      </c>
      <c r="V4252">
        <v>129.87</v>
      </c>
    </row>
    <row r="4253" spans="1:22" x14ac:dyDescent="0.35">
      <c r="A4253" t="s">
        <v>18</v>
      </c>
      <c r="B4253" t="s">
        <v>65</v>
      </c>
      <c r="V4253">
        <v>129.87</v>
      </c>
    </row>
    <row r="4254" spans="1:22" x14ac:dyDescent="0.35">
      <c r="A4254" t="s">
        <v>18</v>
      </c>
      <c r="B4254" t="s">
        <v>66</v>
      </c>
      <c r="V4254">
        <v>129.87</v>
      </c>
    </row>
    <row r="4255" spans="1:22" x14ac:dyDescent="0.35">
      <c r="A4255" t="s">
        <v>18</v>
      </c>
      <c r="B4255" t="s">
        <v>47</v>
      </c>
      <c r="V4255">
        <v>839.82600000000002</v>
      </c>
    </row>
    <row r="4256" spans="1:22" x14ac:dyDescent="0.35">
      <c r="A4256" t="s">
        <v>19</v>
      </c>
      <c r="B4256" t="s">
        <v>72</v>
      </c>
      <c r="V4256">
        <v>17.847000000000001</v>
      </c>
    </row>
    <row r="4257" spans="1:22" x14ac:dyDescent="0.35">
      <c r="A4257" t="s">
        <v>19</v>
      </c>
      <c r="B4257" t="s">
        <v>61</v>
      </c>
      <c r="V4257">
        <v>25.779</v>
      </c>
    </row>
    <row r="4258" spans="1:22" x14ac:dyDescent="0.35">
      <c r="A4258" t="s">
        <v>19</v>
      </c>
      <c r="B4258" t="s">
        <v>62</v>
      </c>
      <c r="V4258">
        <v>29.745000000000001</v>
      </c>
    </row>
    <row r="4259" spans="1:22" x14ac:dyDescent="0.35">
      <c r="A4259" t="s">
        <v>19</v>
      </c>
      <c r="B4259" t="s">
        <v>63</v>
      </c>
      <c r="V4259">
        <v>29.745000000000001</v>
      </c>
    </row>
    <row r="4260" spans="1:22" x14ac:dyDescent="0.35">
      <c r="A4260" t="s">
        <v>19</v>
      </c>
      <c r="B4260" t="s">
        <v>64</v>
      </c>
      <c r="V4260">
        <v>29.745000000000001</v>
      </c>
    </row>
    <row r="4261" spans="1:22" x14ac:dyDescent="0.35">
      <c r="A4261" t="s">
        <v>19</v>
      </c>
      <c r="B4261" t="s">
        <v>65</v>
      </c>
      <c r="V4261">
        <v>29.745000000000001</v>
      </c>
    </row>
    <row r="4262" spans="1:22" x14ac:dyDescent="0.35">
      <c r="A4262" t="s">
        <v>19</v>
      </c>
      <c r="B4262" t="s">
        <v>66</v>
      </c>
      <c r="V4262">
        <v>29.745000000000001</v>
      </c>
    </row>
    <row r="4263" spans="1:22" x14ac:dyDescent="0.35">
      <c r="A4263" t="s">
        <v>19</v>
      </c>
      <c r="B4263" t="s">
        <v>47</v>
      </c>
      <c r="V4263">
        <v>192.35100000000003</v>
      </c>
    </row>
    <row r="4264" spans="1:22" x14ac:dyDescent="0.35">
      <c r="A4264" t="s">
        <v>20</v>
      </c>
      <c r="B4264" t="s">
        <v>72</v>
      </c>
      <c r="V4264">
        <v>15.200999999999999</v>
      </c>
    </row>
    <row r="4265" spans="1:22" x14ac:dyDescent="0.35">
      <c r="A4265" t="s">
        <v>20</v>
      </c>
      <c r="B4265" t="s">
        <v>61</v>
      </c>
      <c r="V4265">
        <v>21.956999999999997</v>
      </c>
    </row>
    <row r="4266" spans="1:22" x14ac:dyDescent="0.35">
      <c r="A4266" t="s">
        <v>20</v>
      </c>
      <c r="B4266" t="s">
        <v>62</v>
      </c>
      <c r="V4266">
        <v>25.334999999999997</v>
      </c>
    </row>
    <row r="4267" spans="1:22" x14ac:dyDescent="0.35">
      <c r="A4267" t="s">
        <v>20</v>
      </c>
      <c r="B4267" t="s">
        <v>63</v>
      </c>
      <c r="V4267">
        <v>25.334999999999997</v>
      </c>
    </row>
    <row r="4268" spans="1:22" x14ac:dyDescent="0.35">
      <c r="A4268" t="s">
        <v>20</v>
      </c>
      <c r="B4268" t="s">
        <v>64</v>
      </c>
      <c r="V4268">
        <v>25.334999999999997</v>
      </c>
    </row>
    <row r="4269" spans="1:22" x14ac:dyDescent="0.35">
      <c r="A4269" t="s">
        <v>20</v>
      </c>
      <c r="B4269" t="s">
        <v>65</v>
      </c>
      <c r="V4269">
        <v>25.334999999999997</v>
      </c>
    </row>
    <row r="4270" spans="1:22" x14ac:dyDescent="0.35">
      <c r="A4270" t="s">
        <v>20</v>
      </c>
      <c r="B4270" t="s">
        <v>66</v>
      </c>
      <c r="V4270">
        <v>25.334999999999997</v>
      </c>
    </row>
    <row r="4271" spans="1:22" x14ac:dyDescent="0.35">
      <c r="A4271" t="s">
        <v>20</v>
      </c>
      <c r="B4271" t="s">
        <v>47</v>
      </c>
      <c r="V4271" s="125">
        <v>163.833</v>
      </c>
    </row>
    <row r="4272" spans="1:22" x14ac:dyDescent="0.35">
      <c r="A4272" t="s">
        <v>21</v>
      </c>
      <c r="B4272" t="s">
        <v>72</v>
      </c>
      <c r="V4272" s="125">
        <v>484.46100000000001</v>
      </c>
    </row>
    <row r="4273" spans="1:22" x14ac:dyDescent="0.35">
      <c r="A4273" t="s">
        <v>21</v>
      </c>
      <c r="B4273" t="s">
        <v>61</v>
      </c>
      <c r="V4273" s="125">
        <v>699.77700000000004</v>
      </c>
    </row>
    <row r="4274" spans="1:22" x14ac:dyDescent="0.35">
      <c r="A4274" t="s">
        <v>21</v>
      </c>
      <c r="B4274" t="s">
        <v>62</v>
      </c>
      <c r="V4274" s="125">
        <v>807.43500000000006</v>
      </c>
    </row>
    <row r="4275" spans="1:22" x14ac:dyDescent="0.35">
      <c r="A4275" t="s">
        <v>21</v>
      </c>
      <c r="B4275" t="s">
        <v>63</v>
      </c>
      <c r="V4275" s="125">
        <v>807.43500000000006</v>
      </c>
    </row>
    <row r="4276" spans="1:22" x14ac:dyDescent="0.35">
      <c r="A4276" t="s">
        <v>21</v>
      </c>
      <c r="B4276" t="s">
        <v>64</v>
      </c>
      <c r="V4276" s="125">
        <v>807.43500000000006</v>
      </c>
    </row>
    <row r="4277" spans="1:22" x14ac:dyDescent="0.35">
      <c r="A4277" t="s">
        <v>21</v>
      </c>
      <c r="B4277" t="s">
        <v>65</v>
      </c>
      <c r="V4277" s="125">
        <v>807.43500000000006</v>
      </c>
    </row>
    <row r="4278" spans="1:22" x14ac:dyDescent="0.35">
      <c r="A4278" t="s">
        <v>21</v>
      </c>
      <c r="B4278" t="s">
        <v>66</v>
      </c>
      <c r="V4278" s="125">
        <v>807.43500000000006</v>
      </c>
    </row>
    <row r="4279" spans="1:22" x14ac:dyDescent="0.35">
      <c r="A4279" t="s">
        <v>21</v>
      </c>
      <c r="B4279" t="s">
        <v>47</v>
      </c>
      <c r="V4279" s="125">
        <v>5221.4130000000005</v>
      </c>
    </row>
    <row r="4280" spans="1:22" x14ac:dyDescent="0.35">
      <c r="A4280" t="s">
        <v>22</v>
      </c>
      <c r="B4280" t="s">
        <v>72</v>
      </c>
      <c r="V4280" s="125">
        <v>988.76700000000005</v>
      </c>
    </row>
    <row r="4281" spans="1:22" x14ac:dyDescent="0.35">
      <c r="A4281" t="s">
        <v>22</v>
      </c>
      <c r="B4281" t="s">
        <v>61</v>
      </c>
      <c r="V4281" s="125">
        <v>1428.2190000000001</v>
      </c>
    </row>
    <row r="4282" spans="1:22" x14ac:dyDescent="0.35">
      <c r="A4282" t="s">
        <v>22</v>
      </c>
      <c r="B4282" t="s">
        <v>62</v>
      </c>
      <c r="V4282" s="125">
        <v>1647.9450000000002</v>
      </c>
    </row>
    <row r="4283" spans="1:22" x14ac:dyDescent="0.35">
      <c r="A4283" t="s">
        <v>22</v>
      </c>
      <c r="B4283" t="s">
        <v>63</v>
      </c>
      <c r="V4283" s="125">
        <v>1647.9450000000002</v>
      </c>
    </row>
    <row r="4284" spans="1:22" x14ac:dyDescent="0.35">
      <c r="A4284" t="s">
        <v>22</v>
      </c>
      <c r="B4284" t="s">
        <v>64</v>
      </c>
      <c r="V4284" s="125">
        <v>1647.9450000000002</v>
      </c>
    </row>
    <row r="4285" spans="1:22" x14ac:dyDescent="0.35">
      <c r="A4285" t="s">
        <v>22</v>
      </c>
      <c r="B4285" t="s">
        <v>65</v>
      </c>
      <c r="V4285" s="125">
        <v>1647.9450000000002</v>
      </c>
    </row>
    <row r="4286" spans="1:22" x14ac:dyDescent="0.35">
      <c r="A4286" t="s">
        <v>22</v>
      </c>
      <c r="B4286" t="s">
        <v>66</v>
      </c>
      <c r="V4286" s="125">
        <v>1647.9450000000002</v>
      </c>
    </row>
    <row r="4287" spans="1:22" x14ac:dyDescent="0.35">
      <c r="A4287" t="s">
        <v>22</v>
      </c>
      <c r="B4287" t="s">
        <v>47</v>
      </c>
      <c r="V4287" s="125">
        <v>10656.710999999999</v>
      </c>
    </row>
    <row r="4288" spans="1:22" x14ac:dyDescent="0.35">
      <c r="A4288" t="s">
        <v>23</v>
      </c>
      <c r="B4288" t="s">
        <v>72</v>
      </c>
      <c r="V4288" s="125">
        <v>287.28000000000003</v>
      </c>
    </row>
    <row r="4289" spans="1:22" x14ac:dyDescent="0.35">
      <c r="A4289" t="s">
        <v>23</v>
      </c>
      <c r="B4289" t="s">
        <v>61</v>
      </c>
      <c r="V4289" s="125">
        <v>414.96000000000004</v>
      </c>
    </row>
    <row r="4290" spans="1:22" x14ac:dyDescent="0.35">
      <c r="A4290" t="s">
        <v>23</v>
      </c>
      <c r="B4290" t="s">
        <v>62</v>
      </c>
      <c r="V4290" s="125">
        <v>478.8</v>
      </c>
    </row>
    <row r="4291" spans="1:22" x14ac:dyDescent="0.35">
      <c r="A4291" t="s">
        <v>23</v>
      </c>
      <c r="B4291" t="s">
        <v>63</v>
      </c>
      <c r="V4291" s="125">
        <v>478.8</v>
      </c>
    </row>
    <row r="4292" spans="1:22" x14ac:dyDescent="0.35">
      <c r="A4292" t="s">
        <v>23</v>
      </c>
      <c r="B4292" t="s">
        <v>64</v>
      </c>
      <c r="V4292" s="125">
        <v>478.8</v>
      </c>
    </row>
    <row r="4293" spans="1:22" x14ac:dyDescent="0.35">
      <c r="A4293" t="s">
        <v>23</v>
      </c>
      <c r="B4293" t="s">
        <v>65</v>
      </c>
      <c r="V4293" s="125">
        <v>478.8</v>
      </c>
    </row>
    <row r="4294" spans="1:22" x14ac:dyDescent="0.35">
      <c r="A4294" t="s">
        <v>23</v>
      </c>
      <c r="B4294" t="s">
        <v>66</v>
      </c>
      <c r="V4294" s="125">
        <v>478.8</v>
      </c>
    </row>
    <row r="4295" spans="1:22" x14ac:dyDescent="0.35">
      <c r="A4295" t="s">
        <v>23</v>
      </c>
      <c r="B4295" t="s">
        <v>47</v>
      </c>
      <c r="V4295" s="125">
        <v>3096.2400000000002</v>
      </c>
    </row>
    <row r="4296" spans="1:22" x14ac:dyDescent="0.35">
      <c r="A4296" t="s">
        <v>24</v>
      </c>
      <c r="B4296" t="s">
        <v>72</v>
      </c>
      <c r="V4296" s="125">
        <v>514.83600000000001</v>
      </c>
    </row>
    <row r="4297" spans="1:22" x14ac:dyDescent="0.35">
      <c r="A4297" t="s">
        <v>24</v>
      </c>
      <c r="B4297" t="s">
        <v>61</v>
      </c>
      <c r="V4297" s="125">
        <v>743.65200000000004</v>
      </c>
    </row>
    <row r="4298" spans="1:22" x14ac:dyDescent="0.35">
      <c r="A4298" t="s">
        <v>24</v>
      </c>
      <c r="B4298" t="s">
        <v>62</v>
      </c>
      <c r="V4298" s="125">
        <v>858.06000000000006</v>
      </c>
    </row>
    <row r="4299" spans="1:22" x14ac:dyDescent="0.35">
      <c r="A4299" t="s">
        <v>24</v>
      </c>
      <c r="B4299" t="s">
        <v>63</v>
      </c>
      <c r="V4299" s="125">
        <v>858.06000000000006</v>
      </c>
    </row>
    <row r="4300" spans="1:22" x14ac:dyDescent="0.35">
      <c r="A4300" t="s">
        <v>24</v>
      </c>
      <c r="B4300" t="s">
        <v>64</v>
      </c>
      <c r="V4300" s="125">
        <v>858.06000000000006</v>
      </c>
    </row>
    <row r="4301" spans="1:22" x14ac:dyDescent="0.35">
      <c r="A4301" t="s">
        <v>24</v>
      </c>
      <c r="B4301" t="s">
        <v>65</v>
      </c>
      <c r="V4301" s="125">
        <v>858.06000000000006</v>
      </c>
    </row>
    <row r="4302" spans="1:22" x14ac:dyDescent="0.35">
      <c r="A4302" t="s">
        <v>24</v>
      </c>
      <c r="B4302" t="s">
        <v>66</v>
      </c>
      <c r="V4302" s="125">
        <v>858.06000000000006</v>
      </c>
    </row>
    <row r="4303" spans="1:22" x14ac:dyDescent="0.35">
      <c r="A4303" t="s">
        <v>24</v>
      </c>
      <c r="B4303" t="s">
        <v>47</v>
      </c>
      <c r="V4303" s="125">
        <v>5548.7880000000005</v>
      </c>
    </row>
    <row r="4304" spans="1:22" x14ac:dyDescent="0.35">
      <c r="A4304" t="s">
        <v>25</v>
      </c>
      <c r="B4304" t="s">
        <v>72</v>
      </c>
      <c r="V4304" s="125">
        <v>146.47499999999999</v>
      </c>
    </row>
    <row r="4305" spans="1:22" x14ac:dyDescent="0.35">
      <c r="A4305" t="s">
        <v>25</v>
      </c>
      <c r="B4305" t="s">
        <v>61</v>
      </c>
      <c r="V4305" s="125">
        <v>211.57499999999999</v>
      </c>
    </row>
    <row r="4306" spans="1:22" x14ac:dyDescent="0.35">
      <c r="A4306" t="s">
        <v>25</v>
      </c>
      <c r="B4306" t="s">
        <v>62</v>
      </c>
      <c r="V4306" s="125">
        <v>244.125</v>
      </c>
    </row>
    <row r="4307" spans="1:22" x14ac:dyDescent="0.35">
      <c r="A4307" t="s">
        <v>25</v>
      </c>
      <c r="B4307" t="s">
        <v>63</v>
      </c>
      <c r="V4307" s="125">
        <v>244.125</v>
      </c>
    </row>
    <row r="4308" spans="1:22" x14ac:dyDescent="0.35">
      <c r="A4308" t="s">
        <v>25</v>
      </c>
      <c r="B4308" t="s">
        <v>64</v>
      </c>
      <c r="V4308" s="125">
        <v>244.125</v>
      </c>
    </row>
    <row r="4309" spans="1:22" x14ac:dyDescent="0.35">
      <c r="A4309" t="s">
        <v>25</v>
      </c>
      <c r="B4309" t="s">
        <v>65</v>
      </c>
      <c r="V4309" s="125">
        <v>244.125</v>
      </c>
    </row>
    <row r="4310" spans="1:22" x14ac:dyDescent="0.35">
      <c r="A4310" t="s">
        <v>25</v>
      </c>
      <c r="B4310" t="s">
        <v>66</v>
      </c>
      <c r="V4310" s="125">
        <v>244.125</v>
      </c>
    </row>
    <row r="4311" spans="1:22" x14ac:dyDescent="0.35">
      <c r="A4311" t="s">
        <v>25</v>
      </c>
      <c r="B4311" t="s">
        <v>47</v>
      </c>
      <c r="V4311" s="125">
        <v>1578.675</v>
      </c>
    </row>
    <row r="4312" spans="1:22" x14ac:dyDescent="0.35">
      <c r="A4312" t="s">
        <v>26</v>
      </c>
      <c r="B4312" t="s">
        <v>72</v>
      </c>
      <c r="V4312" s="125">
        <v>57.348000000000006</v>
      </c>
    </row>
    <row r="4313" spans="1:22" x14ac:dyDescent="0.35">
      <c r="A4313" t="s">
        <v>26</v>
      </c>
      <c r="B4313" t="s">
        <v>61</v>
      </c>
      <c r="V4313" s="125">
        <v>82.836000000000013</v>
      </c>
    </row>
    <row r="4314" spans="1:22" x14ac:dyDescent="0.35">
      <c r="A4314" t="s">
        <v>26</v>
      </c>
      <c r="B4314" t="s">
        <v>62</v>
      </c>
      <c r="V4314" s="125">
        <v>95.580000000000013</v>
      </c>
    </row>
    <row r="4315" spans="1:22" x14ac:dyDescent="0.35">
      <c r="A4315" t="s">
        <v>26</v>
      </c>
      <c r="B4315" t="s">
        <v>63</v>
      </c>
      <c r="V4315" s="125">
        <v>95.580000000000013</v>
      </c>
    </row>
    <row r="4316" spans="1:22" x14ac:dyDescent="0.35">
      <c r="A4316" t="s">
        <v>26</v>
      </c>
      <c r="B4316" t="s">
        <v>64</v>
      </c>
      <c r="V4316" s="125">
        <v>95.580000000000013</v>
      </c>
    </row>
    <row r="4317" spans="1:22" x14ac:dyDescent="0.35">
      <c r="A4317" t="s">
        <v>26</v>
      </c>
      <c r="B4317" t="s">
        <v>65</v>
      </c>
      <c r="V4317" s="125">
        <v>95.580000000000013</v>
      </c>
    </row>
    <row r="4318" spans="1:22" x14ac:dyDescent="0.35">
      <c r="A4318" t="s">
        <v>26</v>
      </c>
      <c r="B4318" t="s">
        <v>66</v>
      </c>
      <c r="V4318" s="125">
        <v>95.580000000000013</v>
      </c>
    </row>
    <row r="4319" spans="1:22" x14ac:dyDescent="0.35">
      <c r="A4319" t="s">
        <v>26</v>
      </c>
      <c r="B4319" t="s">
        <v>47</v>
      </c>
      <c r="V4319" s="125">
        <v>618.08400000000017</v>
      </c>
    </row>
    <row r="4320" spans="1:22" x14ac:dyDescent="0.35">
      <c r="A4320" t="s">
        <v>27</v>
      </c>
      <c r="B4320" t="s">
        <v>72</v>
      </c>
      <c r="V4320" s="125">
        <v>1312.74</v>
      </c>
    </row>
    <row r="4321" spans="1:22" x14ac:dyDescent="0.35">
      <c r="A4321" t="s">
        <v>27</v>
      </c>
      <c r="B4321" t="s">
        <v>61</v>
      </c>
      <c r="V4321" s="125">
        <v>1896.1799999999998</v>
      </c>
    </row>
    <row r="4322" spans="1:22" x14ac:dyDescent="0.35">
      <c r="A4322" t="s">
        <v>27</v>
      </c>
      <c r="B4322" t="s">
        <v>62</v>
      </c>
      <c r="V4322" s="125">
        <v>2187.8999999999996</v>
      </c>
    </row>
    <row r="4323" spans="1:22" x14ac:dyDescent="0.35">
      <c r="A4323" t="s">
        <v>27</v>
      </c>
      <c r="B4323" t="s">
        <v>63</v>
      </c>
      <c r="V4323" s="125">
        <v>2187.8999999999996</v>
      </c>
    </row>
    <row r="4324" spans="1:22" x14ac:dyDescent="0.35">
      <c r="A4324" t="s">
        <v>27</v>
      </c>
      <c r="B4324" t="s">
        <v>64</v>
      </c>
      <c r="V4324" s="125">
        <v>2187.8999999999996</v>
      </c>
    </row>
    <row r="4325" spans="1:22" x14ac:dyDescent="0.35">
      <c r="A4325" t="s">
        <v>27</v>
      </c>
      <c r="B4325" t="s">
        <v>65</v>
      </c>
      <c r="V4325" s="125">
        <v>2187.8999999999996</v>
      </c>
    </row>
    <row r="4326" spans="1:22" x14ac:dyDescent="0.35">
      <c r="A4326" t="s">
        <v>27</v>
      </c>
      <c r="B4326" t="s">
        <v>66</v>
      </c>
      <c r="V4326" s="125">
        <v>2187.8999999999996</v>
      </c>
    </row>
    <row r="4327" spans="1:22" x14ac:dyDescent="0.35">
      <c r="A4327" t="s">
        <v>27</v>
      </c>
      <c r="B4327" t="s">
        <v>47</v>
      </c>
      <c r="V4327" s="125">
        <v>14148.419999999998</v>
      </c>
    </row>
    <row r="4328" spans="1:22" x14ac:dyDescent="0.35">
      <c r="A4328" t="s">
        <v>28</v>
      </c>
      <c r="B4328" t="s">
        <v>72</v>
      </c>
      <c r="V4328" s="125">
        <v>284.904</v>
      </c>
    </row>
    <row r="4329" spans="1:22" x14ac:dyDescent="0.35">
      <c r="A4329" t="s">
        <v>28</v>
      </c>
      <c r="B4329" t="s">
        <v>61</v>
      </c>
      <c r="V4329" s="125">
        <v>411.52800000000002</v>
      </c>
    </row>
    <row r="4330" spans="1:22" x14ac:dyDescent="0.35">
      <c r="A4330" t="s">
        <v>28</v>
      </c>
      <c r="B4330" t="s">
        <v>62</v>
      </c>
      <c r="V4330" s="125">
        <v>474.84000000000003</v>
      </c>
    </row>
    <row r="4331" spans="1:22" x14ac:dyDescent="0.35">
      <c r="A4331" t="s">
        <v>28</v>
      </c>
      <c r="B4331" t="s">
        <v>63</v>
      </c>
      <c r="V4331" s="125">
        <v>474.84000000000003</v>
      </c>
    </row>
    <row r="4332" spans="1:22" x14ac:dyDescent="0.35">
      <c r="A4332" t="s">
        <v>28</v>
      </c>
      <c r="B4332" t="s">
        <v>64</v>
      </c>
      <c r="V4332" s="125">
        <v>474.84000000000003</v>
      </c>
    </row>
    <row r="4333" spans="1:22" x14ac:dyDescent="0.35">
      <c r="A4333" t="s">
        <v>28</v>
      </c>
      <c r="B4333" t="s">
        <v>65</v>
      </c>
      <c r="V4333" s="125">
        <v>474.84000000000003</v>
      </c>
    </row>
    <row r="4334" spans="1:22" x14ac:dyDescent="0.35">
      <c r="A4334" t="s">
        <v>28</v>
      </c>
      <c r="B4334" t="s">
        <v>66</v>
      </c>
      <c r="V4334" s="125">
        <v>474.84000000000003</v>
      </c>
    </row>
    <row r="4335" spans="1:22" x14ac:dyDescent="0.35">
      <c r="A4335" t="s">
        <v>28</v>
      </c>
      <c r="B4335" t="s">
        <v>47</v>
      </c>
      <c r="V4335" s="125">
        <v>3070.6320000000005</v>
      </c>
    </row>
    <row r="4336" spans="1:22" x14ac:dyDescent="0.35">
      <c r="A4336" t="s">
        <v>29</v>
      </c>
      <c r="B4336" t="s">
        <v>72</v>
      </c>
      <c r="V4336" s="125">
        <v>12131.073</v>
      </c>
    </row>
    <row r="4337" spans="1:23" x14ac:dyDescent="0.35">
      <c r="A4337" t="s">
        <v>29</v>
      </c>
      <c r="B4337" t="s">
        <v>61</v>
      </c>
      <c r="V4337" s="125">
        <v>17522.660999999996</v>
      </c>
    </row>
    <row r="4338" spans="1:23" x14ac:dyDescent="0.35">
      <c r="A4338" t="s">
        <v>29</v>
      </c>
      <c r="B4338" t="s">
        <v>62</v>
      </c>
      <c r="V4338" s="125">
        <v>20218.455000000005</v>
      </c>
    </row>
    <row r="4339" spans="1:23" x14ac:dyDescent="0.35">
      <c r="A4339" t="s">
        <v>29</v>
      </c>
      <c r="B4339" t="s">
        <v>63</v>
      </c>
      <c r="V4339" s="125">
        <v>20218.455000000005</v>
      </c>
    </row>
    <row r="4340" spans="1:23" x14ac:dyDescent="0.35">
      <c r="A4340" t="s">
        <v>29</v>
      </c>
      <c r="B4340" t="s">
        <v>64</v>
      </c>
      <c r="V4340" s="125">
        <v>20218.455000000005</v>
      </c>
    </row>
    <row r="4341" spans="1:23" x14ac:dyDescent="0.35">
      <c r="A4341" t="s">
        <v>29</v>
      </c>
      <c r="B4341" t="s">
        <v>65</v>
      </c>
      <c r="V4341" s="125">
        <v>20218.455000000005</v>
      </c>
    </row>
    <row r="4342" spans="1:23" x14ac:dyDescent="0.35">
      <c r="A4342" t="s">
        <v>29</v>
      </c>
      <c r="B4342" t="s">
        <v>66</v>
      </c>
      <c r="V4342" s="125">
        <v>20218.455000000005</v>
      </c>
    </row>
    <row r="4343" spans="1:23" x14ac:dyDescent="0.35">
      <c r="A4343" t="s">
        <v>29</v>
      </c>
      <c r="B4343" t="s">
        <v>47</v>
      </c>
      <c r="V4343" s="125">
        <v>130746.00900000001</v>
      </c>
    </row>
    <row r="4344" spans="1:23" x14ac:dyDescent="0.35">
      <c r="A4344" t="s">
        <v>2</v>
      </c>
      <c r="B4344" t="s">
        <v>72</v>
      </c>
      <c r="V4344" s="125"/>
      <c r="W4344">
        <v>90.677030320379416</v>
      </c>
    </row>
    <row r="4345" spans="1:23" x14ac:dyDescent="0.35">
      <c r="A4345" t="s">
        <v>2</v>
      </c>
      <c r="B4345" t="s">
        <v>61</v>
      </c>
      <c r="V4345" s="125"/>
      <c r="W4345">
        <v>86.232211705886115</v>
      </c>
    </row>
    <row r="4346" spans="1:23" x14ac:dyDescent="0.35">
      <c r="A4346" t="s">
        <v>2</v>
      </c>
      <c r="B4346" t="s">
        <v>62</v>
      </c>
      <c r="V4346" s="125"/>
      <c r="W4346">
        <v>82.22128613715482</v>
      </c>
    </row>
    <row r="4347" spans="1:23" x14ac:dyDescent="0.35">
      <c r="A4347" t="s">
        <v>2</v>
      </c>
      <c r="B4347" t="s">
        <v>63</v>
      </c>
      <c r="V4347" s="125"/>
      <c r="W4347">
        <v>79.785173825913432</v>
      </c>
    </row>
    <row r="4348" spans="1:23" x14ac:dyDescent="0.35">
      <c r="A4348" t="s">
        <v>2</v>
      </c>
      <c r="B4348" t="s">
        <v>64</v>
      </c>
      <c r="V4348" s="125"/>
      <c r="W4348">
        <v>78.865337923096959</v>
      </c>
    </row>
    <row r="4349" spans="1:23" x14ac:dyDescent="0.35">
      <c r="A4349" t="s">
        <v>2</v>
      </c>
      <c r="B4349" t="s">
        <v>65</v>
      </c>
      <c r="V4349" s="125"/>
      <c r="W4349">
        <v>77.88384813224026</v>
      </c>
    </row>
    <row r="4350" spans="1:23" x14ac:dyDescent="0.35">
      <c r="A4350" t="s">
        <v>2</v>
      </c>
      <c r="B4350" t="s">
        <v>66</v>
      </c>
      <c r="V4350" s="125"/>
      <c r="W4350">
        <v>76.901267989792728</v>
      </c>
    </row>
    <row r="4351" spans="1:23" x14ac:dyDescent="0.35">
      <c r="A4351" t="s">
        <v>2</v>
      </c>
      <c r="B4351" t="s">
        <v>125</v>
      </c>
      <c r="V4351" s="125"/>
      <c r="W4351">
        <v>0</v>
      </c>
    </row>
    <row r="4352" spans="1:23" x14ac:dyDescent="0.35">
      <c r="A4352" t="s">
        <v>2</v>
      </c>
      <c r="B4352" t="s">
        <v>126</v>
      </c>
      <c r="V4352" s="125"/>
      <c r="W4352">
        <v>0</v>
      </c>
    </row>
    <row r="4353" spans="1:23" x14ac:dyDescent="0.35">
      <c r="A4353" t="s">
        <v>2</v>
      </c>
      <c r="B4353" t="s">
        <v>127</v>
      </c>
      <c r="V4353" s="125"/>
      <c r="W4353">
        <v>0</v>
      </c>
    </row>
    <row r="4354" spans="1:23" x14ac:dyDescent="0.35">
      <c r="A4354" t="s">
        <v>3</v>
      </c>
      <c r="B4354" t="s">
        <v>72</v>
      </c>
      <c r="V4354" s="125"/>
      <c r="W4354">
        <v>52.357121231818866</v>
      </c>
    </row>
    <row r="4355" spans="1:23" x14ac:dyDescent="0.35">
      <c r="A4355" t="s">
        <v>3</v>
      </c>
      <c r="B4355" t="s">
        <v>61</v>
      </c>
      <c r="V4355" s="125"/>
      <c r="W4355">
        <v>49.790672967796183</v>
      </c>
    </row>
    <row r="4356" spans="1:23" x14ac:dyDescent="0.35">
      <c r="A4356" t="s">
        <v>3</v>
      </c>
      <c r="B4356" t="s">
        <v>62</v>
      </c>
      <c r="V4356" s="125"/>
      <c r="W4356">
        <v>47.474755524184559</v>
      </c>
    </row>
    <row r="4357" spans="1:23" x14ac:dyDescent="0.35">
      <c r="A4357" t="s">
        <v>3</v>
      </c>
      <c r="B4357" t="s">
        <v>63</v>
      </c>
      <c r="V4357" s="125"/>
      <c r="W4357">
        <v>46.068138797067</v>
      </c>
    </row>
    <row r="4358" spans="1:23" x14ac:dyDescent="0.35">
      <c r="A4358" t="s">
        <v>3</v>
      </c>
      <c r="B4358" t="s">
        <v>64</v>
      </c>
      <c r="V4358" s="125"/>
      <c r="W4358">
        <v>45.537023478149024</v>
      </c>
    </row>
    <row r="4359" spans="1:23" x14ac:dyDescent="0.35">
      <c r="A4359" t="s">
        <v>3</v>
      </c>
      <c r="B4359" t="s">
        <v>65</v>
      </c>
      <c r="V4359" s="125"/>
      <c r="W4359">
        <v>44.970309065622367</v>
      </c>
    </row>
    <row r="4360" spans="1:23" x14ac:dyDescent="0.35">
      <c r="A4360" t="s">
        <v>3</v>
      </c>
      <c r="B4360" t="s">
        <v>66</v>
      </c>
      <c r="V4360" s="125"/>
      <c r="W4360">
        <v>44.402965081635031</v>
      </c>
    </row>
    <row r="4361" spans="1:23" x14ac:dyDescent="0.35">
      <c r="A4361" t="s">
        <v>3</v>
      </c>
      <c r="B4361" t="s">
        <v>125</v>
      </c>
      <c r="V4361" s="125"/>
      <c r="W4361">
        <v>0</v>
      </c>
    </row>
    <row r="4362" spans="1:23" x14ac:dyDescent="0.35">
      <c r="A4362" t="s">
        <v>3</v>
      </c>
      <c r="B4362" t="s">
        <v>126</v>
      </c>
      <c r="V4362" s="125"/>
      <c r="W4362">
        <v>0</v>
      </c>
    </row>
    <row r="4363" spans="1:23" x14ac:dyDescent="0.35">
      <c r="A4363" t="s">
        <v>3</v>
      </c>
      <c r="B4363" t="s">
        <v>127</v>
      </c>
      <c r="V4363" s="125"/>
      <c r="W4363">
        <v>0</v>
      </c>
    </row>
    <row r="4364" spans="1:23" x14ac:dyDescent="0.35">
      <c r="A4364" t="s">
        <v>4</v>
      </c>
      <c r="B4364" t="s">
        <v>72</v>
      </c>
      <c r="V4364" s="125"/>
      <c r="W4364">
        <v>21.547439272451211</v>
      </c>
    </row>
    <row r="4365" spans="1:23" x14ac:dyDescent="0.35">
      <c r="A4365" t="s">
        <v>4</v>
      </c>
      <c r="B4365" t="s">
        <v>61</v>
      </c>
      <c r="V4365" s="125"/>
      <c r="W4365">
        <v>20.491224056376481</v>
      </c>
    </row>
    <row r="4366" spans="1:23" x14ac:dyDescent="0.35">
      <c r="A4366" t="s">
        <v>4</v>
      </c>
      <c r="B4366" t="s">
        <v>62</v>
      </c>
      <c r="V4366" s="125"/>
      <c r="W4366">
        <v>19.538114158387948</v>
      </c>
    </row>
    <row r="4367" spans="1:23" x14ac:dyDescent="0.35">
      <c r="A4367" t="s">
        <v>4</v>
      </c>
      <c r="B4367" t="s">
        <v>63</v>
      </c>
      <c r="V4367" s="125"/>
      <c r="W4367">
        <v>18.959224643569474</v>
      </c>
    </row>
    <row r="4368" spans="1:23" x14ac:dyDescent="0.35">
      <c r="A4368" t="s">
        <v>4</v>
      </c>
      <c r="B4368" t="s">
        <v>64</v>
      </c>
      <c r="V4368" s="125"/>
      <c r="W4368">
        <v>18.740645493077562</v>
      </c>
    </row>
    <row r="4369" spans="1:23" x14ac:dyDescent="0.35">
      <c r="A4369" t="s">
        <v>4</v>
      </c>
      <c r="B4369" t="s">
        <v>65</v>
      </c>
      <c r="V4369" s="125"/>
      <c r="W4369">
        <v>18.507415626701324</v>
      </c>
    </row>
    <row r="4370" spans="1:23" x14ac:dyDescent="0.35">
      <c r="A4370" t="s">
        <v>4</v>
      </c>
      <c r="B4370" t="s">
        <v>66</v>
      </c>
      <c r="V4370" s="125"/>
      <c r="W4370">
        <v>18.273926661801397</v>
      </c>
    </row>
    <row r="4371" spans="1:23" x14ac:dyDescent="0.35">
      <c r="A4371" t="s">
        <v>4</v>
      </c>
      <c r="B4371" t="s">
        <v>125</v>
      </c>
      <c r="V4371" s="125"/>
      <c r="W4371">
        <v>0</v>
      </c>
    </row>
    <row r="4372" spans="1:23" x14ac:dyDescent="0.35">
      <c r="A4372" t="s">
        <v>4</v>
      </c>
      <c r="B4372" t="s">
        <v>126</v>
      </c>
      <c r="V4372" s="125"/>
      <c r="W4372">
        <v>0</v>
      </c>
    </row>
    <row r="4373" spans="1:23" x14ac:dyDescent="0.35">
      <c r="A4373" t="s">
        <v>4</v>
      </c>
      <c r="B4373" t="s">
        <v>127</v>
      </c>
      <c r="V4373" s="125"/>
      <c r="W4373">
        <v>0</v>
      </c>
    </row>
    <row r="4374" spans="1:23" x14ac:dyDescent="0.35">
      <c r="A4374" t="s">
        <v>5</v>
      </c>
      <c r="B4374" t="s">
        <v>72</v>
      </c>
      <c r="V4374" s="125"/>
      <c r="W4374">
        <v>12.906587990605294</v>
      </c>
    </row>
    <row r="4375" spans="1:23" x14ac:dyDescent="0.35">
      <c r="A4375" t="s">
        <v>5</v>
      </c>
      <c r="B4375" t="s">
        <v>61</v>
      </c>
      <c r="V4375" s="125"/>
      <c r="W4375">
        <v>12.273931160672209</v>
      </c>
    </row>
    <row r="4376" spans="1:23" x14ac:dyDescent="0.35">
      <c r="A4376" t="s">
        <v>5</v>
      </c>
      <c r="B4376" t="s">
        <v>62</v>
      </c>
      <c r="V4376" s="125"/>
      <c r="W4376">
        <v>11.703032846141008</v>
      </c>
    </row>
    <row r="4377" spans="1:23" x14ac:dyDescent="0.35">
      <c r="A4377" t="s">
        <v>5</v>
      </c>
      <c r="B4377" t="s">
        <v>63</v>
      </c>
      <c r="V4377" s="125"/>
      <c r="W4377">
        <v>11.356286842341108</v>
      </c>
    </row>
    <row r="4378" spans="1:23" x14ac:dyDescent="0.35">
      <c r="A4378" t="s">
        <v>5</v>
      </c>
      <c r="B4378" t="s">
        <v>64</v>
      </c>
      <c r="V4378" s="125"/>
      <c r="W4378">
        <v>11.225361259812953</v>
      </c>
    </row>
    <row r="4379" spans="1:23" x14ac:dyDescent="0.35">
      <c r="A4379" t="s">
        <v>5</v>
      </c>
      <c r="B4379" t="s">
        <v>65</v>
      </c>
      <c r="V4379" s="125"/>
      <c r="W4379">
        <v>11.085660121577442</v>
      </c>
    </row>
    <row r="4380" spans="1:23" x14ac:dyDescent="0.35">
      <c r="A4380" t="s">
        <v>5</v>
      </c>
      <c r="B4380" t="s">
        <v>66</v>
      </c>
      <c r="V4380" s="125"/>
      <c r="W4380">
        <v>10.945803787271904</v>
      </c>
    </row>
    <row r="4381" spans="1:23" x14ac:dyDescent="0.35">
      <c r="A4381" t="s">
        <v>5</v>
      </c>
      <c r="B4381" t="s">
        <v>125</v>
      </c>
      <c r="V4381" s="125"/>
      <c r="W4381">
        <v>0</v>
      </c>
    </row>
    <row r="4382" spans="1:23" x14ac:dyDescent="0.35">
      <c r="A4382" t="s">
        <v>5</v>
      </c>
      <c r="B4382" t="s">
        <v>126</v>
      </c>
      <c r="V4382" s="125"/>
      <c r="W4382">
        <v>0</v>
      </c>
    </row>
    <row r="4383" spans="1:23" x14ac:dyDescent="0.35">
      <c r="A4383" t="s">
        <v>5</v>
      </c>
      <c r="B4383" t="s">
        <v>127</v>
      </c>
      <c r="V4383" s="125"/>
      <c r="W4383">
        <v>0</v>
      </c>
    </row>
    <row r="4384" spans="1:23" x14ac:dyDescent="0.35">
      <c r="A4384" t="s">
        <v>6</v>
      </c>
      <c r="B4384" t="s">
        <v>72</v>
      </c>
      <c r="V4384" s="125"/>
      <c r="W4384">
        <v>3.6208244282032416</v>
      </c>
    </row>
    <row r="4385" spans="1:23" x14ac:dyDescent="0.35">
      <c r="A4385" t="s">
        <v>6</v>
      </c>
      <c r="B4385" t="s">
        <v>61</v>
      </c>
      <c r="V4385" s="125"/>
      <c r="W4385">
        <v>3.4433383795156431</v>
      </c>
    </row>
    <row r="4386" spans="1:23" x14ac:dyDescent="0.35">
      <c r="A4386" t="s">
        <v>6</v>
      </c>
      <c r="B4386" t="s">
        <v>62</v>
      </c>
      <c r="V4386" s="125"/>
      <c r="W4386">
        <v>3.2831781137057097</v>
      </c>
    </row>
    <row r="4387" spans="1:23" x14ac:dyDescent="0.35">
      <c r="A4387" t="s">
        <v>6</v>
      </c>
      <c r="B4387" t="s">
        <v>63</v>
      </c>
      <c r="V4387" s="125"/>
      <c r="W4387">
        <v>3.1859017148732365</v>
      </c>
    </row>
    <row r="4388" spans="1:23" x14ac:dyDescent="0.35">
      <c r="A4388" t="s">
        <v>6</v>
      </c>
      <c r="B4388" t="s">
        <v>64</v>
      </c>
      <c r="V4388" s="125"/>
      <c r="W4388">
        <v>3.149171748143087</v>
      </c>
    </row>
    <row r="4389" spans="1:23" x14ac:dyDescent="0.35">
      <c r="A4389" t="s">
        <v>6</v>
      </c>
      <c r="B4389" t="s">
        <v>65</v>
      </c>
      <c r="V4389" s="125"/>
      <c r="W4389">
        <v>3.1099798800568714</v>
      </c>
    </row>
    <row r="4390" spans="1:23" x14ac:dyDescent="0.35">
      <c r="A4390" t="s">
        <v>6</v>
      </c>
      <c r="B4390" t="s">
        <v>66</v>
      </c>
      <c r="V4390" s="125"/>
      <c r="W4390">
        <v>3.0707444731421196</v>
      </c>
    </row>
    <row r="4391" spans="1:23" x14ac:dyDescent="0.35">
      <c r="A4391" t="s">
        <v>6</v>
      </c>
      <c r="B4391" t="s">
        <v>125</v>
      </c>
      <c r="V4391" s="125"/>
      <c r="W4391">
        <v>0</v>
      </c>
    </row>
    <row r="4392" spans="1:23" x14ac:dyDescent="0.35">
      <c r="A4392" t="s">
        <v>6</v>
      </c>
      <c r="B4392" t="s">
        <v>126</v>
      </c>
      <c r="V4392" s="125"/>
      <c r="W4392">
        <v>0</v>
      </c>
    </row>
    <row r="4393" spans="1:23" x14ac:dyDescent="0.35">
      <c r="A4393" t="s">
        <v>6</v>
      </c>
      <c r="B4393" t="s">
        <v>127</v>
      </c>
      <c r="V4393" s="125"/>
      <c r="W4393">
        <v>0</v>
      </c>
    </row>
    <row r="4394" spans="1:23" x14ac:dyDescent="0.35">
      <c r="A4394" t="s">
        <v>7</v>
      </c>
      <c r="B4394" t="s">
        <v>72</v>
      </c>
      <c r="V4394" s="125"/>
      <c r="W4394">
        <v>78.714585642240024</v>
      </c>
    </row>
    <row r="4395" spans="1:23" x14ac:dyDescent="0.35">
      <c r="A4395" t="s">
        <v>7</v>
      </c>
      <c r="B4395" t="s">
        <v>61</v>
      </c>
      <c r="V4395" s="125"/>
      <c r="W4395">
        <v>76.551473068467217</v>
      </c>
    </row>
    <row r="4396" spans="1:23" x14ac:dyDescent="0.35">
      <c r="A4396" t="s">
        <v>7</v>
      </c>
      <c r="B4396" t="s">
        <v>62</v>
      </c>
      <c r="V4396" s="125"/>
      <c r="W4396">
        <v>74.879123347413397</v>
      </c>
    </row>
    <row r="4397" spans="1:23" x14ac:dyDescent="0.35">
      <c r="A4397" t="s">
        <v>7</v>
      </c>
      <c r="B4397" t="s">
        <v>63</v>
      </c>
      <c r="V4397" s="125"/>
      <c r="W4397">
        <v>74.882186094383712</v>
      </c>
    </row>
    <row r="4398" spans="1:23" x14ac:dyDescent="0.35">
      <c r="A4398" t="s">
        <v>7</v>
      </c>
      <c r="B4398" t="s">
        <v>64</v>
      </c>
      <c r="V4398" s="125"/>
      <c r="W4398">
        <v>72.330197630994405</v>
      </c>
    </row>
    <row r="4399" spans="1:23" x14ac:dyDescent="0.35">
      <c r="A4399" t="s">
        <v>7</v>
      </c>
      <c r="B4399" t="s">
        <v>65</v>
      </c>
      <c r="V4399" s="125"/>
      <c r="W4399">
        <v>69.994101739707929</v>
      </c>
    </row>
    <row r="4400" spans="1:23" x14ac:dyDescent="0.35">
      <c r="A4400" t="s">
        <v>7</v>
      </c>
      <c r="B4400" t="s">
        <v>66</v>
      </c>
      <c r="V4400" s="125"/>
      <c r="W4400">
        <v>69.659448943730141</v>
      </c>
    </row>
    <row r="4401" spans="1:23" x14ac:dyDescent="0.35">
      <c r="A4401" t="s">
        <v>7</v>
      </c>
      <c r="B4401" t="s">
        <v>125</v>
      </c>
      <c r="V4401" s="125"/>
      <c r="W4401">
        <v>0</v>
      </c>
    </row>
    <row r="4402" spans="1:23" x14ac:dyDescent="0.35">
      <c r="A4402" t="s">
        <v>7</v>
      </c>
      <c r="B4402" t="s">
        <v>126</v>
      </c>
      <c r="V4402" s="125"/>
      <c r="W4402">
        <v>0</v>
      </c>
    </row>
    <row r="4403" spans="1:23" x14ac:dyDescent="0.35">
      <c r="A4403" t="s">
        <v>7</v>
      </c>
      <c r="B4403" t="s">
        <v>127</v>
      </c>
      <c r="V4403" s="125"/>
      <c r="W4403">
        <v>0</v>
      </c>
    </row>
    <row r="4404" spans="1:23" x14ac:dyDescent="0.35">
      <c r="A4404" t="s">
        <v>8</v>
      </c>
      <c r="B4404" t="s">
        <v>72</v>
      </c>
      <c r="V4404" s="125"/>
      <c r="W4404">
        <v>26.359601837319598</v>
      </c>
    </row>
    <row r="4405" spans="1:23" x14ac:dyDescent="0.35">
      <c r="A4405" t="s">
        <v>8</v>
      </c>
      <c r="B4405" t="s">
        <v>61</v>
      </c>
      <c r="V4405" s="125"/>
      <c r="W4405">
        <v>25.067503402873871</v>
      </c>
    </row>
    <row r="4406" spans="1:23" x14ac:dyDescent="0.35">
      <c r="A4406" t="s">
        <v>8</v>
      </c>
      <c r="B4406" t="s">
        <v>62</v>
      </c>
      <c r="V4406" s="125"/>
      <c r="W4406">
        <v>23.90153666777756</v>
      </c>
    </row>
    <row r="4407" spans="1:23" x14ac:dyDescent="0.35">
      <c r="A4407" t="s">
        <v>8</v>
      </c>
      <c r="B4407" t="s">
        <v>63</v>
      </c>
      <c r="V4407" s="125"/>
      <c r="W4407">
        <v>23.193364484277158</v>
      </c>
    </row>
    <row r="4408" spans="1:23" x14ac:dyDescent="0.35">
      <c r="A4408" t="s">
        <v>8</v>
      </c>
      <c r="B4408" t="s">
        <v>64</v>
      </c>
      <c r="V4408" s="125"/>
      <c r="W4408">
        <v>22.925970326481675</v>
      </c>
    </row>
    <row r="4409" spans="1:23" x14ac:dyDescent="0.35">
      <c r="A4409" t="s">
        <v>8</v>
      </c>
      <c r="B4409" t="s">
        <v>65</v>
      </c>
      <c r="V4409" s="125"/>
      <c r="W4409">
        <v>22.64065352681402</v>
      </c>
    </row>
    <row r="4410" spans="1:23" x14ac:dyDescent="0.35">
      <c r="A4410" t="s">
        <v>8</v>
      </c>
      <c r="B4410" t="s">
        <v>66</v>
      </c>
      <c r="V4410" s="125"/>
      <c r="W4410">
        <v>22.355019764474626</v>
      </c>
    </row>
    <row r="4411" spans="1:23" x14ac:dyDescent="0.35">
      <c r="A4411" t="s">
        <v>8</v>
      </c>
      <c r="B4411" t="s">
        <v>125</v>
      </c>
      <c r="V4411" s="125"/>
      <c r="W4411">
        <v>0</v>
      </c>
    </row>
    <row r="4412" spans="1:23" x14ac:dyDescent="0.35">
      <c r="A4412" t="s">
        <v>8</v>
      </c>
      <c r="B4412" t="s">
        <v>126</v>
      </c>
      <c r="V4412" s="125"/>
      <c r="W4412">
        <v>0</v>
      </c>
    </row>
    <row r="4413" spans="1:23" x14ac:dyDescent="0.35">
      <c r="A4413" t="s">
        <v>8</v>
      </c>
      <c r="B4413" t="s">
        <v>127</v>
      </c>
      <c r="V4413" s="125"/>
      <c r="W4413">
        <v>0</v>
      </c>
    </row>
    <row r="4414" spans="1:23" x14ac:dyDescent="0.35">
      <c r="A4414" t="s">
        <v>9</v>
      </c>
      <c r="B4414" t="s">
        <v>72</v>
      </c>
      <c r="V4414" s="125"/>
      <c r="W4414">
        <v>4.5938703017408669</v>
      </c>
    </row>
    <row r="4415" spans="1:23" x14ac:dyDescent="0.35">
      <c r="A4415" t="s">
        <v>9</v>
      </c>
      <c r="B4415" t="s">
        <v>61</v>
      </c>
      <c r="V4415" s="125"/>
      <c r="W4415">
        <v>4.3686873622731586</v>
      </c>
    </row>
    <row r="4416" spans="1:23" x14ac:dyDescent="0.35">
      <c r="A4416" t="s">
        <v>9</v>
      </c>
      <c r="B4416" t="s">
        <v>62</v>
      </c>
      <c r="V4416" s="125"/>
      <c r="W4416">
        <v>4.165486267270528</v>
      </c>
    </row>
    <row r="4417" spans="1:23" x14ac:dyDescent="0.35">
      <c r="A4417" t="s">
        <v>9</v>
      </c>
      <c r="B4417" t="s">
        <v>63</v>
      </c>
      <c r="V4417" s="125"/>
      <c r="W4417">
        <v>4.0420681981214104</v>
      </c>
    </row>
    <row r="4418" spans="1:23" x14ac:dyDescent="0.35">
      <c r="A4418" t="s">
        <v>9</v>
      </c>
      <c r="B4418" t="s">
        <v>64</v>
      </c>
      <c r="V4418" s="125"/>
      <c r="W4418">
        <v>3.9954675670520681</v>
      </c>
    </row>
    <row r="4419" spans="1:23" x14ac:dyDescent="0.35">
      <c r="A4419" t="s">
        <v>9</v>
      </c>
      <c r="B4419" t="s">
        <v>65</v>
      </c>
      <c r="V4419" s="125"/>
      <c r="W4419">
        <v>3.9457434331038357</v>
      </c>
    </row>
    <row r="4420" spans="1:23" x14ac:dyDescent="0.35">
      <c r="A4420" t="s">
        <v>9</v>
      </c>
      <c r="B4420" t="s">
        <v>66</v>
      </c>
      <c r="V4420" s="125"/>
      <c r="W4420">
        <v>3.8959640598764405</v>
      </c>
    </row>
    <row r="4421" spans="1:23" x14ac:dyDescent="0.35">
      <c r="A4421" t="s">
        <v>9</v>
      </c>
      <c r="B4421" t="s">
        <v>125</v>
      </c>
      <c r="V4421" s="125"/>
      <c r="W4421">
        <v>0</v>
      </c>
    </row>
    <row r="4422" spans="1:23" x14ac:dyDescent="0.35">
      <c r="A4422" t="s">
        <v>9</v>
      </c>
      <c r="B4422" t="s">
        <v>126</v>
      </c>
      <c r="V4422" s="125"/>
      <c r="W4422">
        <v>0</v>
      </c>
    </row>
    <row r="4423" spans="1:23" x14ac:dyDescent="0.35">
      <c r="A4423" t="s">
        <v>9</v>
      </c>
      <c r="B4423" t="s">
        <v>127</v>
      </c>
      <c r="V4423" s="125"/>
      <c r="W4423">
        <v>0</v>
      </c>
    </row>
    <row r="4424" spans="1:23" x14ac:dyDescent="0.35">
      <c r="A4424" t="s">
        <v>10</v>
      </c>
      <c r="B4424" t="s">
        <v>72</v>
      </c>
      <c r="V4424" s="125"/>
      <c r="W4424">
        <v>24.838855577474231</v>
      </c>
    </row>
    <row r="4425" spans="1:23" x14ac:dyDescent="0.35">
      <c r="A4425" t="s">
        <v>10</v>
      </c>
      <c r="B4425" t="s">
        <v>61</v>
      </c>
      <c r="V4425" s="125"/>
      <c r="W4425">
        <v>23.621301283477301</v>
      </c>
    </row>
    <row r="4426" spans="1:23" x14ac:dyDescent="0.35">
      <c r="A4426" t="s">
        <v>10</v>
      </c>
      <c r="B4426" t="s">
        <v>62</v>
      </c>
      <c r="V4426" s="125"/>
      <c r="W4426">
        <v>22.522601860021165</v>
      </c>
    </row>
    <row r="4427" spans="1:23" x14ac:dyDescent="0.35">
      <c r="A4427" t="s">
        <v>10</v>
      </c>
      <c r="B4427" t="s">
        <v>63</v>
      </c>
      <c r="V4427" s="125"/>
      <c r="W4427">
        <v>21.855285764030395</v>
      </c>
    </row>
    <row r="4428" spans="1:23" x14ac:dyDescent="0.35">
      <c r="A4428" t="s">
        <v>10</v>
      </c>
      <c r="B4428" t="s">
        <v>64</v>
      </c>
      <c r="V4428" s="125"/>
      <c r="W4428">
        <v>21.603318192261568</v>
      </c>
    </row>
    <row r="4429" spans="1:23" x14ac:dyDescent="0.35">
      <c r="A4429" t="s">
        <v>10</v>
      </c>
      <c r="B4429" t="s">
        <v>65</v>
      </c>
      <c r="V4429" s="125"/>
      <c r="W4429">
        <v>21.334461977190138</v>
      </c>
    </row>
    <row r="4430" spans="1:23" x14ac:dyDescent="0.35">
      <c r="A4430" t="s">
        <v>10</v>
      </c>
      <c r="B4430" t="s">
        <v>66</v>
      </c>
      <c r="V4430" s="125"/>
      <c r="W4430">
        <v>21.065307085754938</v>
      </c>
    </row>
    <row r="4431" spans="1:23" x14ac:dyDescent="0.35">
      <c r="A4431" t="s">
        <v>10</v>
      </c>
      <c r="B4431" t="s">
        <v>125</v>
      </c>
      <c r="V4431" s="125"/>
      <c r="W4431">
        <v>0</v>
      </c>
    </row>
    <row r="4432" spans="1:23" x14ac:dyDescent="0.35">
      <c r="A4432" t="s">
        <v>10</v>
      </c>
      <c r="B4432" t="s">
        <v>126</v>
      </c>
      <c r="V4432" s="125"/>
      <c r="W4432">
        <v>0</v>
      </c>
    </row>
    <row r="4433" spans="1:23" x14ac:dyDescent="0.35">
      <c r="A4433" t="s">
        <v>10</v>
      </c>
      <c r="B4433" t="s">
        <v>127</v>
      </c>
      <c r="V4433" s="125"/>
      <c r="W4433">
        <v>0</v>
      </c>
    </row>
    <row r="4434" spans="1:23" x14ac:dyDescent="0.35">
      <c r="A4434" t="s">
        <v>11</v>
      </c>
      <c r="B4434" t="s">
        <v>72</v>
      </c>
      <c r="V4434" s="125"/>
      <c r="W4434">
        <v>334.85913080720002</v>
      </c>
    </row>
    <row r="4435" spans="1:23" x14ac:dyDescent="0.35">
      <c r="A4435" t="s">
        <v>11</v>
      </c>
      <c r="B4435" t="s">
        <v>61</v>
      </c>
      <c r="V4435" s="125"/>
      <c r="W4435">
        <v>323.70583884446557</v>
      </c>
    </row>
    <row r="4436" spans="1:23" x14ac:dyDescent="0.35">
      <c r="A4436" t="s">
        <v>11</v>
      </c>
      <c r="B4436" t="s">
        <v>62</v>
      </c>
      <c r="V4436" s="125"/>
      <c r="W4436">
        <v>311.32288751068756</v>
      </c>
    </row>
    <row r="4437" spans="1:23" x14ac:dyDescent="0.35">
      <c r="A4437" t="s">
        <v>11</v>
      </c>
      <c r="B4437" t="s">
        <v>63</v>
      </c>
      <c r="V4437" s="125"/>
      <c r="W4437">
        <v>309.21540087667466</v>
      </c>
    </row>
    <row r="4438" spans="1:23" x14ac:dyDescent="0.35">
      <c r="A4438" t="s">
        <v>11</v>
      </c>
      <c r="B4438" t="s">
        <v>64</v>
      </c>
      <c r="V4438" s="125"/>
      <c r="W4438">
        <v>306.81645201456428</v>
      </c>
    </row>
    <row r="4439" spans="1:23" x14ac:dyDescent="0.35">
      <c r="A4439" t="s">
        <v>11</v>
      </c>
      <c r="B4439" t="s">
        <v>65</v>
      </c>
      <c r="V4439" s="125"/>
      <c r="W4439">
        <v>300.85168737035616</v>
      </c>
    </row>
    <row r="4440" spans="1:23" x14ac:dyDescent="0.35">
      <c r="A4440" t="s">
        <v>11</v>
      </c>
      <c r="B4440" t="s">
        <v>66</v>
      </c>
      <c r="V4440" s="125"/>
      <c r="W4440">
        <v>294.58417518572116</v>
      </c>
    </row>
    <row r="4441" spans="1:23" x14ac:dyDescent="0.35">
      <c r="A4441" t="s">
        <v>11</v>
      </c>
      <c r="B4441" t="s">
        <v>125</v>
      </c>
      <c r="V4441" s="125"/>
      <c r="W4441">
        <v>0</v>
      </c>
    </row>
    <row r="4442" spans="1:23" x14ac:dyDescent="0.35">
      <c r="A4442" t="s">
        <v>11</v>
      </c>
      <c r="B4442" t="s">
        <v>126</v>
      </c>
      <c r="V4442" s="125"/>
      <c r="W4442">
        <v>0</v>
      </c>
    </row>
    <row r="4443" spans="1:23" x14ac:dyDescent="0.35">
      <c r="A4443" t="s">
        <v>11</v>
      </c>
      <c r="B4443" t="s">
        <v>127</v>
      </c>
      <c r="V4443" s="125"/>
      <c r="W4443">
        <v>0</v>
      </c>
    </row>
    <row r="4444" spans="1:23" x14ac:dyDescent="0.35">
      <c r="A4444" t="s">
        <v>12</v>
      </c>
      <c r="B4444" t="s">
        <v>72</v>
      </c>
      <c r="V4444" s="125"/>
      <c r="W4444">
        <v>1071.7066672670403</v>
      </c>
    </row>
    <row r="4445" spans="1:23" x14ac:dyDescent="0.35">
      <c r="A4445" t="s">
        <v>12</v>
      </c>
      <c r="B4445" t="s">
        <v>61</v>
      </c>
      <c r="V4445" s="125"/>
      <c r="W4445">
        <v>934.071761151636</v>
      </c>
    </row>
    <row r="4446" spans="1:23" x14ac:dyDescent="0.35">
      <c r="A4446" t="s">
        <v>12</v>
      </c>
      <c r="B4446" t="s">
        <v>62</v>
      </c>
      <c r="V4446" s="125"/>
      <c r="W4446">
        <v>866.74573682480764</v>
      </c>
    </row>
    <row r="4447" spans="1:23" x14ac:dyDescent="0.35">
      <c r="A4447" t="s">
        <v>12</v>
      </c>
      <c r="B4447" t="s">
        <v>63</v>
      </c>
      <c r="V4447" s="125"/>
      <c r="W4447">
        <v>837.98994783290391</v>
      </c>
    </row>
    <row r="4448" spans="1:23" x14ac:dyDescent="0.35">
      <c r="A4448" t="s">
        <v>12</v>
      </c>
      <c r="B4448" t="s">
        <v>64</v>
      </c>
      <c r="V4448" s="125"/>
      <c r="W4448">
        <v>833.71130983472779</v>
      </c>
    </row>
    <row r="4449" spans="1:23" x14ac:dyDescent="0.35">
      <c r="A4449" t="s">
        <v>12</v>
      </c>
      <c r="B4449" t="s">
        <v>65</v>
      </c>
      <c r="V4449" s="125"/>
      <c r="W4449">
        <v>827.40880059223343</v>
      </c>
    </row>
    <row r="4450" spans="1:23" x14ac:dyDescent="0.35">
      <c r="A4450" t="s">
        <v>12</v>
      </c>
      <c r="B4450" t="s">
        <v>66</v>
      </c>
      <c r="V4450" s="125"/>
      <c r="W4450">
        <v>819.19108689614416</v>
      </c>
    </row>
    <row r="4451" spans="1:23" x14ac:dyDescent="0.35">
      <c r="A4451" t="s">
        <v>12</v>
      </c>
      <c r="B4451" t="s">
        <v>125</v>
      </c>
      <c r="V4451" s="125"/>
      <c r="W4451">
        <v>0</v>
      </c>
    </row>
    <row r="4452" spans="1:23" x14ac:dyDescent="0.35">
      <c r="A4452" t="s">
        <v>12</v>
      </c>
      <c r="B4452" t="s">
        <v>126</v>
      </c>
      <c r="V4452" s="125"/>
      <c r="W4452">
        <v>0</v>
      </c>
    </row>
    <row r="4453" spans="1:23" x14ac:dyDescent="0.35">
      <c r="A4453" t="s">
        <v>12</v>
      </c>
      <c r="B4453" t="s">
        <v>127</v>
      </c>
      <c r="V4453" s="125"/>
      <c r="W4453">
        <v>0</v>
      </c>
    </row>
    <row r="4454" spans="1:23" x14ac:dyDescent="0.35">
      <c r="A4454" t="s">
        <v>13</v>
      </c>
      <c r="B4454" t="s">
        <v>72</v>
      </c>
      <c r="V4454" s="125"/>
      <c r="W4454">
        <v>45.98447023818116</v>
      </c>
    </row>
    <row r="4455" spans="1:23" x14ac:dyDescent="0.35">
      <c r="A4455" t="s">
        <v>13</v>
      </c>
      <c r="B4455" t="s">
        <v>61</v>
      </c>
      <c r="V4455" s="125"/>
      <c r="W4455">
        <v>43.730397419848664</v>
      </c>
    </row>
    <row r="4456" spans="1:23" x14ac:dyDescent="0.35">
      <c r="A4456" t="s">
        <v>13</v>
      </c>
      <c r="B4456" t="s">
        <v>62</v>
      </c>
      <c r="V4456" s="125"/>
      <c r="W4456">
        <v>41.696362044062511</v>
      </c>
    </row>
    <row r="4457" spans="1:23" x14ac:dyDescent="0.35">
      <c r="A4457" t="s">
        <v>13</v>
      </c>
      <c r="B4457" t="s">
        <v>63</v>
      </c>
      <c r="V4457" s="125"/>
      <c r="W4457">
        <v>40.460951778890099</v>
      </c>
    </row>
    <row r="4458" spans="1:23" x14ac:dyDescent="0.35">
      <c r="A4458" t="s">
        <v>13</v>
      </c>
      <c r="B4458" t="s">
        <v>64</v>
      </c>
      <c r="V4458" s="125"/>
      <c r="W4458">
        <v>39.994481201417187</v>
      </c>
    </row>
    <row r="4459" spans="1:23" x14ac:dyDescent="0.35">
      <c r="A4459" t="s">
        <v>13</v>
      </c>
      <c r="B4459" t="s">
        <v>65</v>
      </c>
      <c r="V4459" s="125"/>
      <c r="W4459">
        <v>39.49674447672227</v>
      </c>
    </row>
    <row r="4460" spans="1:23" x14ac:dyDescent="0.35">
      <c r="A4460" t="s">
        <v>13</v>
      </c>
      <c r="B4460" t="s">
        <v>66</v>
      </c>
      <c r="V4460" s="125"/>
      <c r="W4460">
        <v>38.998454808904924</v>
      </c>
    </row>
    <row r="4461" spans="1:23" x14ac:dyDescent="0.35">
      <c r="A4461" t="s">
        <v>13</v>
      </c>
      <c r="B4461" t="s">
        <v>125</v>
      </c>
      <c r="V4461" s="125"/>
      <c r="W4461">
        <v>0</v>
      </c>
    </row>
    <row r="4462" spans="1:23" x14ac:dyDescent="0.35">
      <c r="A4462" t="s">
        <v>13</v>
      </c>
      <c r="B4462" t="s">
        <v>126</v>
      </c>
      <c r="V4462" s="125"/>
      <c r="W4462">
        <v>0</v>
      </c>
    </row>
    <row r="4463" spans="1:23" x14ac:dyDescent="0.35">
      <c r="A4463" t="s">
        <v>13</v>
      </c>
      <c r="B4463" t="s">
        <v>127</v>
      </c>
      <c r="V4463" s="125"/>
      <c r="W4463">
        <v>0</v>
      </c>
    </row>
    <row r="4464" spans="1:23" x14ac:dyDescent="0.35">
      <c r="A4464" t="s">
        <v>14</v>
      </c>
      <c r="B4464" t="s">
        <v>72</v>
      </c>
      <c r="V4464" s="125"/>
      <c r="W4464">
        <v>31.993025315695331</v>
      </c>
    </row>
    <row r="4465" spans="1:23" x14ac:dyDescent="0.35">
      <c r="A4465" t="s">
        <v>14</v>
      </c>
      <c r="B4465" t="s">
        <v>61</v>
      </c>
      <c r="V4465" s="125"/>
      <c r="W4465">
        <v>30.424786987259491</v>
      </c>
    </row>
    <row r="4466" spans="1:23" x14ac:dyDescent="0.35">
      <c r="A4466" t="s">
        <v>14</v>
      </c>
      <c r="B4466" t="s">
        <v>62</v>
      </c>
      <c r="V4466" s="125"/>
      <c r="W4466">
        <v>29.00963650420546</v>
      </c>
    </row>
    <row r="4467" spans="1:23" x14ac:dyDescent="0.35">
      <c r="A4467" t="s">
        <v>14</v>
      </c>
      <c r="B4467" t="s">
        <v>63</v>
      </c>
      <c r="W4467">
        <v>28.150117808345545</v>
      </c>
    </row>
    <row r="4468" spans="1:23" x14ac:dyDescent="0.35">
      <c r="A4468" t="s">
        <v>14</v>
      </c>
      <c r="B4468" t="s">
        <v>64</v>
      </c>
      <c r="W4468">
        <v>27.825577699112621</v>
      </c>
    </row>
    <row r="4469" spans="1:23" x14ac:dyDescent="0.35">
      <c r="A4469" t="s">
        <v>14</v>
      </c>
      <c r="B4469" t="s">
        <v>65</v>
      </c>
      <c r="W4469">
        <v>27.479284623401718</v>
      </c>
    </row>
    <row r="4470" spans="1:23" x14ac:dyDescent="0.35">
      <c r="A4470" t="s">
        <v>14</v>
      </c>
      <c r="B4470" t="s">
        <v>66</v>
      </c>
      <c r="W4470">
        <v>27.13260684556807</v>
      </c>
    </row>
    <row r="4471" spans="1:23" x14ac:dyDescent="0.35">
      <c r="A4471" t="s">
        <v>14</v>
      </c>
      <c r="B4471" t="s">
        <v>125</v>
      </c>
      <c r="W4471">
        <v>0</v>
      </c>
    </row>
    <row r="4472" spans="1:23" x14ac:dyDescent="0.35">
      <c r="A4472" t="s">
        <v>14</v>
      </c>
      <c r="B4472" t="s">
        <v>126</v>
      </c>
      <c r="W4472">
        <v>0</v>
      </c>
    </row>
    <row r="4473" spans="1:23" x14ac:dyDescent="0.35">
      <c r="A4473" t="s">
        <v>14</v>
      </c>
      <c r="B4473" t="s">
        <v>127</v>
      </c>
      <c r="W4473">
        <v>0</v>
      </c>
    </row>
    <row r="4474" spans="1:23" x14ac:dyDescent="0.35">
      <c r="A4474" t="s">
        <v>15</v>
      </c>
      <c r="B4474" t="s">
        <v>72</v>
      </c>
      <c r="W4474">
        <v>23.607775271885128</v>
      </c>
    </row>
    <row r="4475" spans="1:23" x14ac:dyDescent="0.35">
      <c r="A4475" t="s">
        <v>15</v>
      </c>
      <c r="B4475" t="s">
        <v>61</v>
      </c>
      <c r="W4475">
        <v>22.450566234441979</v>
      </c>
    </row>
    <row r="4476" spans="1:23" x14ac:dyDescent="0.35">
      <c r="A4476" t="s">
        <v>15</v>
      </c>
      <c r="B4476" t="s">
        <v>62</v>
      </c>
      <c r="W4476">
        <v>21.406321301361224</v>
      </c>
    </row>
    <row r="4477" spans="1:23" x14ac:dyDescent="0.35">
      <c r="A4477" t="s">
        <v>15</v>
      </c>
      <c r="B4477" t="s">
        <v>63</v>
      </c>
      <c r="W4477">
        <v>20.772079180973503</v>
      </c>
    </row>
    <row r="4478" spans="1:23" x14ac:dyDescent="0.35">
      <c r="A4478" t="s">
        <v>15</v>
      </c>
      <c r="B4478" t="s">
        <v>64</v>
      </c>
      <c r="W4478">
        <v>20.532599797892921</v>
      </c>
    </row>
    <row r="4479" spans="1:23" x14ac:dyDescent="0.35">
      <c r="A4479" t="s">
        <v>15</v>
      </c>
      <c r="B4479" t="s">
        <v>65</v>
      </c>
      <c r="W4479">
        <v>20.277068817970804</v>
      </c>
    </row>
    <row r="4480" spans="1:23" x14ac:dyDescent="0.35">
      <c r="A4480" t="s">
        <v>15</v>
      </c>
      <c r="B4480" t="s">
        <v>66</v>
      </c>
      <c r="W4480">
        <v>20.021253964886622</v>
      </c>
    </row>
    <row r="4481" spans="1:23" x14ac:dyDescent="0.35">
      <c r="A4481" t="s">
        <v>15</v>
      </c>
      <c r="B4481" t="s">
        <v>125</v>
      </c>
      <c r="W4481">
        <v>0</v>
      </c>
    </row>
    <row r="4482" spans="1:23" x14ac:dyDescent="0.35">
      <c r="A4482" t="s">
        <v>15</v>
      </c>
      <c r="B4482" t="s">
        <v>126</v>
      </c>
      <c r="W4482">
        <v>0</v>
      </c>
    </row>
    <row r="4483" spans="1:23" x14ac:dyDescent="0.35">
      <c r="A4483" t="s">
        <v>15</v>
      </c>
      <c r="B4483" t="s">
        <v>127</v>
      </c>
      <c r="W4483">
        <v>0</v>
      </c>
    </row>
    <row r="4484" spans="1:23" x14ac:dyDescent="0.35">
      <c r="A4484" t="s">
        <v>16</v>
      </c>
      <c r="B4484" t="s">
        <v>72</v>
      </c>
      <c r="W4484">
        <v>467.45740118982508</v>
      </c>
    </row>
    <row r="4485" spans="1:23" x14ac:dyDescent="0.35">
      <c r="A4485" t="s">
        <v>16</v>
      </c>
      <c r="B4485" t="s">
        <v>61</v>
      </c>
      <c r="W4485">
        <v>448.13886138442604</v>
      </c>
    </row>
    <row r="4486" spans="1:23" x14ac:dyDescent="0.35">
      <c r="A4486" t="s">
        <v>16</v>
      </c>
      <c r="B4486" t="s">
        <v>62</v>
      </c>
      <c r="W4486">
        <v>428.41244482712239</v>
      </c>
    </row>
    <row r="4487" spans="1:23" x14ac:dyDescent="0.35">
      <c r="A4487" t="s">
        <v>16</v>
      </c>
      <c r="B4487" t="s">
        <v>63</v>
      </c>
      <c r="W4487">
        <v>409.74612869014902</v>
      </c>
    </row>
    <row r="4488" spans="1:23" x14ac:dyDescent="0.35">
      <c r="A4488" t="s">
        <v>16</v>
      </c>
      <c r="B4488" t="s">
        <v>64</v>
      </c>
      <c r="W4488">
        <v>401.38251865165387</v>
      </c>
    </row>
    <row r="4489" spans="1:23" x14ac:dyDescent="0.35">
      <c r="A4489" t="s">
        <v>16</v>
      </c>
      <c r="B4489" t="s">
        <v>65</v>
      </c>
      <c r="W4489">
        <v>395.7379283944926</v>
      </c>
    </row>
    <row r="4490" spans="1:23" x14ac:dyDescent="0.35">
      <c r="A4490" t="s">
        <v>16</v>
      </c>
      <c r="B4490" t="s">
        <v>66</v>
      </c>
      <c r="W4490">
        <v>390.95631348861889</v>
      </c>
    </row>
    <row r="4491" spans="1:23" x14ac:dyDescent="0.35">
      <c r="A4491" t="s">
        <v>16</v>
      </c>
      <c r="B4491" t="s">
        <v>125</v>
      </c>
      <c r="W4491">
        <v>0</v>
      </c>
    </row>
    <row r="4492" spans="1:23" x14ac:dyDescent="0.35">
      <c r="A4492" t="s">
        <v>16</v>
      </c>
      <c r="B4492" t="s">
        <v>126</v>
      </c>
      <c r="W4492">
        <v>0</v>
      </c>
    </row>
    <row r="4493" spans="1:23" x14ac:dyDescent="0.35">
      <c r="A4493" t="s">
        <v>16</v>
      </c>
      <c r="B4493" t="s">
        <v>127</v>
      </c>
      <c r="W4493">
        <v>0</v>
      </c>
    </row>
    <row r="4494" spans="1:23" x14ac:dyDescent="0.35">
      <c r="A4494" t="s">
        <v>17</v>
      </c>
      <c r="B4494" t="s">
        <v>72</v>
      </c>
      <c r="W4494">
        <v>5.0675436567788728</v>
      </c>
    </row>
    <row r="4495" spans="1:23" x14ac:dyDescent="0.35">
      <c r="A4495" t="s">
        <v>17</v>
      </c>
      <c r="B4495" t="s">
        <v>61</v>
      </c>
      <c r="W4495">
        <v>4.8191421344106908</v>
      </c>
    </row>
    <row r="4496" spans="1:23" x14ac:dyDescent="0.35">
      <c r="A4496" t="s">
        <v>17</v>
      </c>
      <c r="B4496" t="s">
        <v>62</v>
      </c>
      <c r="W4496">
        <v>4.5949890015630173</v>
      </c>
    </row>
    <row r="4497" spans="1:23" x14ac:dyDescent="0.35">
      <c r="A4497" t="s">
        <v>17</v>
      </c>
      <c r="B4497" t="s">
        <v>63</v>
      </c>
      <c r="W4497">
        <v>4.458845311739756</v>
      </c>
    </row>
    <row r="4498" spans="1:23" x14ac:dyDescent="0.35">
      <c r="A4498" t="s">
        <v>17</v>
      </c>
      <c r="B4498" t="s">
        <v>64</v>
      </c>
      <c r="W4498">
        <v>4.411416162853965</v>
      </c>
    </row>
    <row r="4499" spans="1:23" x14ac:dyDescent="0.35">
      <c r="A4499" t="s">
        <v>17</v>
      </c>
      <c r="B4499" t="s">
        <v>65</v>
      </c>
      <c r="W4499">
        <v>4.3606023447032252</v>
      </c>
    </row>
    <row r="4500" spans="1:23" x14ac:dyDescent="0.35">
      <c r="A4500" t="s">
        <v>17</v>
      </c>
      <c r="B4500" t="s">
        <v>66</v>
      </c>
      <c r="W4500">
        <v>4.3095963069707794</v>
      </c>
    </row>
    <row r="4501" spans="1:23" x14ac:dyDescent="0.35">
      <c r="A4501" t="s">
        <v>17</v>
      </c>
      <c r="B4501" t="s">
        <v>125</v>
      </c>
      <c r="W4501">
        <v>0</v>
      </c>
    </row>
    <row r="4502" spans="1:23" x14ac:dyDescent="0.35">
      <c r="A4502" t="s">
        <v>17</v>
      </c>
      <c r="B4502" t="s">
        <v>126</v>
      </c>
      <c r="W4502">
        <v>0</v>
      </c>
    </row>
    <row r="4503" spans="1:23" x14ac:dyDescent="0.35">
      <c r="A4503" t="s">
        <v>17</v>
      </c>
      <c r="B4503" t="s">
        <v>127</v>
      </c>
      <c r="W4503">
        <v>0</v>
      </c>
    </row>
    <row r="4504" spans="1:23" x14ac:dyDescent="0.35">
      <c r="A4504" t="s">
        <v>18</v>
      </c>
      <c r="B4504" t="s">
        <v>72</v>
      </c>
      <c r="W4504">
        <v>7.8680283092093024</v>
      </c>
    </row>
    <row r="4505" spans="1:23" x14ac:dyDescent="0.35">
      <c r="A4505" t="s">
        <v>18</v>
      </c>
      <c r="B4505" t="s">
        <v>61</v>
      </c>
      <c r="W4505">
        <v>7.4823522613218607</v>
      </c>
    </row>
    <row r="4506" spans="1:23" x14ac:dyDescent="0.35">
      <c r="A4506" t="s">
        <v>18</v>
      </c>
      <c r="B4506" t="s">
        <v>62</v>
      </c>
      <c r="W4506">
        <v>7.1343250287425795</v>
      </c>
    </row>
    <row r="4507" spans="1:23" x14ac:dyDescent="0.35">
      <c r="A4507" t="s">
        <v>18</v>
      </c>
      <c r="B4507" t="s">
        <v>63</v>
      </c>
      <c r="W4507">
        <v>6.9229440366485679</v>
      </c>
    </row>
    <row r="4508" spans="1:23" x14ac:dyDescent="0.35">
      <c r="A4508" t="s">
        <v>18</v>
      </c>
      <c r="B4508" t="s">
        <v>64</v>
      </c>
      <c r="W4508">
        <v>6.8493040423258922</v>
      </c>
    </row>
    <row r="4509" spans="1:23" x14ac:dyDescent="0.35">
      <c r="A4509" t="s">
        <v>18</v>
      </c>
      <c r="B4509" t="s">
        <v>65</v>
      </c>
      <c r="W4509">
        <v>6.7704089036181658</v>
      </c>
    </row>
    <row r="4510" spans="1:23" x14ac:dyDescent="0.35">
      <c r="A4510" t="s">
        <v>18</v>
      </c>
      <c r="B4510" t="s">
        <v>66</v>
      </c>
      <c r="W4510">
        <v>6.6912153187177896</v>
      </c>
    </row>
    <row r="4511" spans="1:23" x14ac:dyDescent="0.35">
      <c r="A4511" t="s">
        <v>18</v>
      </c>
      <c r="B4511" t="s">
        <v>125</v>
      </c>
      <c r="W4511">
        <v>0</v>
      </c>
    </row>
    <row r="4512" spans="1:23" x14ac:dyDescent="0.35">
      <c r="A4512" t="s">
        <v>18</v>
      </c>
      <c r="B4512" t="s">
        <v>126</v>
      </c>
      <c r="W4512">
        <v>0</v>
      </c>
    </row>
    <row r="4513" spans="1:23" x14ac:dyDescent="0.35">
      <c r="A4513" t="s">
        <v>18</v>
      </c>
      <c r="B4513" t="s">
        <v>127</v>
      </c>
      <c r="W4513">
        <v>0</v>
      </c>
    </row>
    <row r="4514" spans="1:23" x14ac:dyDescent="0.35">
      <c r="A4514" t="s">
        <v>19</v>
      </c>
      <c r="B4514" t="s">
        <v>72</v>
      </c>
      <c r="W4514">
        <v>2.969076031126658</v>
      </c>
    </row>
    <row r="4515" spans="1:23" x14ac:dyDescent="0.35">
      <c r="A4515" t="s">
        <v>19</v>
      </c>
      <c r="B4515" t="s">
        <v>61</v>
      </c>
      <c r="W4515">
        <v>2.8235374712028269</v>
      </c>
    </row>
    <row r="4516" spans="1:23" x14ac:dyDescent="0.35">
      <c r="A4516" t="s">
        <v>19</v>
      </c>
      <c r="B4516" t="s">
        <v>62</v>
      </c>
      <c r="W4516">
        <v>2.692206053238682</v>
      </c>
    </row>
    <row r="4517" spans="1:23" x14ac:dyDescent="0.35">
      <c r="A4517" t="s">
        <v>19</v>
      </c>
      <c r="B4517" t="s">
        <v>63</v>
      </c>
      <c r="W4517">
        <v>2.6124394061960534</v>
      </c>
    </row>
    <row r="4518" spans="1:23" x14ac:dyDescent="0.35">
      <c r="A4518" t="s">
        <v>19</v>
      </c>
      <c r="B4518" t="s">
        <v>64</v>
      </c>
      <c r="W4518">
        <v>2.5823208334773318</v>
      </c>
    </row>
    <row r="4519" spans="1:23" x14ac:dyDescent="0.35">
      <c r="A4519" t="s">
        <v>19</v>
      </c>
      <c r="B4519" t="s">
        <v>65</v>
      </c>
      <c r="W4519">
        <v>2.5501835016466341</v>
      </c>
    </row>
    <row r="4520" spans="1:23" x14ac:dyDescent="0.35">
      <c r="A4520" t="s">
        <v>19</v>
      </c>
      <c r="B4520" t="s">
        <v>66</v>
      </c>
      <c r="W4520">
        <v>2.5180104679765383</v>
      </c>
    </row>
    <row r="4521" spans="1:23" x14ac:dyDescent="0.35">
      <c r="A4521" t="s">
        <v>19</v>
      </c>
      <c r="B4521" t="s">
        <v>125</v>
      </c>
      <c r="W4521">
        <v>0</v>
      </c>
    </row>
    <row r="4522" spans="1:23" x14ac:dyDescent="0.35">
      <c r="A4522" t="s">
        <v>19</v>
      </c>
      <c r="B4522" t="s">
        <v>126</v>
      </c>
      <c r="W4522">
        <v>0</v>
      </c>
    </row>
    <row r="4523" spans="1:23" x14ac:dyDescent="0.35">
      <c r="A4523" t="s">
        <v>19</v>
      </c>
      <c r="B4523" t="s">
        <v>127</v>
      </c>
      <c r="W4523">
        <v>0</v>
      </c>
    </row>
    <row r="4524" spans="1:23" x14ac:dyDescent="0.35">
      <c r="A4524" t="s">
        <v>20</v>
      </c>
      <c r="B4524" t="s">
        <v>72</v>
      </c>
      <c r="W4524">
        <v>2.462160611178204</v>
      </c>
    </row>
    <row r="4525" spans="1:23" x14ac:dyDescent="0.35">
      <c r="A4525" t="s">
        <v>20</v>
      </c>
      <c r="B4525" t="s">
        <v>61</v>
      </c>
      <c r="W4525">
        <v>2.3414700980706362</v>
      </c>
    </row>
    <row r="4526" spans="1:23" x14ac:dyDescent="0.35">
      <c r="A4526" t="s">
        <v>20</v>
      </c>
      <c r="B4526" t="s">
        <v>62</v>
      </c>
      <c r="W4526">
        <v>2.2325611173198823</v>
      </c>
    </row>
    <row r="4527" spans="1:23" x14ac:dyDescent="0.35">
      <c r="A4527" t="s">
        <v>20</v>
      </c>
      <c r="B4527" t="s">
        <v>63</v>
      </c>
      <c r="W4527">
        <v>2.1664131661138004</v>
      </c>
    </row>
    <row r="4528" spans="1:23" x14ac:dyDescent="0.35">
      <c r="A4528" t="s">
        <v>20</v>
      </c>
      <c r="B4528" t="s">
        <v>64</v>
      </c>
      <c r="W4528">
        <v>2.1414367887372987</v>
      </c>
    </row>
    <row r="4529" spans="1:23" x14ac:dyDescent="0.35">
      <c r="A4529" t="s">
        <v>20</v>
      </c>
      <c r="B4529" t="s">
        <v>65</v>
      </c>
      <c r="W4529">
        <v>2.1147863184386724</v>
      </c>
    </row>
    <row r="4530" spans="1:23" x14ac:dyDescent="0.35">
      <c r="A4530" t="s">
        <v>20</v>
      </c>
      <c r="B4530" t="s">
        <v>66</v>
      </c>
      <c r="W4530">
        <v>2.0881062417366412</v>
      </c>
    </row>
    <row r="4531" spans="1:23" x14ac:dyDescent="0.35">
      <c r="A4531" t="s">
        <v>20</v>
      </c>
      <c r="B4531" t="s">
        <v>125</v>
      </c>
      <c r="W4531">
        <v>0</v>
      </c>
    </row>
    <row r="4532" spans="1:23" x14ac:dyDescent="0.35">
      <c r="A4532" t="s">
        <v>20</v>
      </c>
      <c r="B4532" t="s">
        <v>126</v>
      </c>
      <c r="W4532">
        <v>0</v>
      </c>
    </row>
    <row r="4533" spans="1:23" x14ac:dyDescent="0.35">
      <c r="A4533" t="s">
        <v>20</v>
      </c>
      <c r="B4533" t="s">
        <v>127</v>
      </c>
      <c r="W4533">
        <v>0</v>
      </c>
    </row>
    <row r="4534" spans="1:23" x14ac:dyDescent="0.35">
      <c r="A4534" t="s">
        <v>21</v>
      </c>
      <c r="B4534" t="s">
        <v>72</v>
      </c>
      <c r="W4534">
        <v>157.66665486600002</v>
      </c>
    </row>
    <row r="4535" spans="1:23" x14ac:dyDescent="0.35">
      <c r="A4535" t="s">
        <v>21</v>
      </c>
      <c r="B4535" t="s">
        <v>61</v>
      </c>
      <c r="W4535">
        <v>152.66940045952001</v>
      </c>
    </row>
    <row r="4536" spans="1:23" x14ac:dyDescent="0.35">
      <c r="A4536" t="s">
        <v>21</v>
      </c>
      <c r="B4536" t="s">
        <v>62</v>
      </c>
      <c r="W4536">
        <v>148.40027504609441</v>
      </c>
    </row>
    <row r="4537" spans="1:23" x14ac:dyDescent="0.35">
      <c r="A4537" t="s">
        <v>21</v>
      </c>
      <c r="B4537" t="s">
        <v>63</v>
      </c>
      <c r="W4537">
        <v>143.98492142402986</v>
      </c>
    </row>
    <row r="4538" spans="1:23" x14ac:dyDescent="0.35">
      <c r="A4538" t="s">
        <v>21</v>
      </c>
      <c r="B4538" t="s">
        <v>64</v>
      </c>
      <c r="W4538">
        <v>142.02383726728115</v>
      </c>
    </row>
    <row r="4539" spans="1:23" x14ac:dyDescent="0.35">
      <c r="A4539" t="s">
        <v>21</v>
      </c>
      <c r="B4539" t="s">
        <v>65</v>
      </c>
      <c r="W4539">
        <v>139.63372143800621</v>
      </c>
    </row>
    <row r="4540" spans="1:23" x14ac:dyDescent="0.35">
      <c r="A4540" t="s">
        <v>21</v>
      </c>
      <c r="B4540" t="s">
        <v>66</v>
      </c>
      <c r="W4540">
        <v>137.22804057955619</v>
      </c>
    </row>
    <row r="4541" spans="1:23" x14ac:dyDescent="0.35">
      <c r="A4541" t="s">
        <v>21</v>
      </c>
      <c r="B4541" t="s">
        <v>125</v>
      </c>
      <c r="W4541">
        <v>0</v>
      </c>
    </row>
    <row r="4542" spans="1:23" x14ac:dyDescent="0.35">
      <c r="A4542" t="s">
        <v>21</v>
      </c>
      <c r="B4542" t="s">
        <v>126</v>
      </c>
      <c r="W4542">
        <v>0</v>
      </c>
    </row>
    <row r="4543" spans="1:23" x14ac:dyDescent="0.35">
      <c r="A4543" t="s">
        <v>21</v>
      </c>
      <c r="B4543" t="s">
        <v>127</v>
      </c>
      <c r="W4543">
        <v>0</v>
      </c>
    </row>
    <row r="4544" spans="1:23" x14ac:dyDescent="0.35">
      <c r="A4544" t="s">
        <v>22</v>
      </c>
      <c r="B4544" t="s">
        <v>72</v>
      </c>
      <c r="W4544">
        <v>157.09922814754023</v>
      </c>
    </row>
    <row r="4545" spans="1:23" x14ac:dyDescent="0.35">
      <c r="A4545" t="s">
        <v>22</v>
      </c>
      <c r="B4545" t="s">
        <v>61</v>
      </c>
      <c r="W4545">
        <v>151.59733999293704</v>
      </c>
    </row>
    <row r="4546" spans="1:23" x14ac:dyDescent="0.35">
      <c r="A4546" t="s">
        <v>22</v>
      </c>
      <c r="B4546" t="s">
        <v>62</v>
      </c>
      <c r="W4546">
        <v>146.38518694281905</v>
      </c>
    </row>
    <row r="4547" spans="1:23" x14ac:dyDescent="0.35">
      <c r="A4547" t="s">
        <v>22</v>
      </c>
      <c r="B4547" t="s">
        <v>63</v>
      </c>
      <c r="W4547">
        <v>143.16279064429926</v>
      </c>
    </row>
    <row r="4548" spans="1:23" x14ac:dyDescent="0.35">
      <c r="A4548" t="s">
        <v>22</v>
      </c>
      <c r="B4548" t="s">
        <v>64</v>
      </c>
      <c r="W4548">
        <v>142.3852936541382</v>
      </c>
    </row>
    <row r="4549" spans="1:23" x14ac:dyDescent="0.35">
      <c r="A4549" t="s">
        <v>22</v>
      </c>
      <c r="B4549" t="s">
        <v>65</v>
      </c>
      <c r="W4549">
        <v>141.4422014058606</v>
      </c>
    </row>
    <row r="4550" spans="1:23" x14ac:dyDescent="0.35">
      <c r="A4550" t="s">
        <v>22</v>
      </c>
      <c r="B4550" t="s">
        <v>66</v>
      </c>
      <c r="W4550">
        <v>139.04664049490111</v>
      </c>
    </row>
    <row r="4551" spans="1:23" x14ac:dyDescent="0.35">
      <c r="A4551" t="s">
        <v>22</v>
      </c>
      <c r="B4551" t="s">
        <v>125</v>
      </c>
      <c r="W4551">
        <v>0</v>
      </c>
    </row>
    <row r="4552" spans="1:23" x14ac:dyDescent="0.35">
      <c r="A4552" t="s">
        <v>22</v>
      </c>
      <c r="B4552" t="s">
        <v>126</v>
      </c>
      <c r="W4552">
        <v>0</v>
      </c>
    </row>
    <row r="4553" spans="1:23" x14ac:dyDescent="0.35">
      <c r="A4553" t="s">
        <v>22</v>
      </c>
      <c r="B4553" t="s">
        <v>127</v>
      </c>
      <c r="W4553">
        <v>0</v>
      </c>
    </row>
    <row r="4554" spans="1:23" x14ac:dyDescent="0.35">
      <c r="A4554" t="s">
        <v>23</v>
      </c>
      <c r="B4554" t="s">
        <v>72</v>
      </c>
      <c r="W4554">
        <v>26.319048603723719</v>
      </c>
    </row>
    <row r="4555" spans="1:23" x14ac:dyDescent="0.35">
      <c r="A4555" t="s">
        <v>23</v>
      </c>
      <c r="B4555" t="s">
        <v>61</v>
      </c>
      <c r="W4555">
        <v>25.028938013023293</v>
      </c>
    </row>
    <row r="4556" spans="1:23" x14ac:dyDescent="0.35">
      <c r="A4556" t="s">
        <v>23</v>
      </c>
      <c r="B4556" t="s">
        <v>62</v>
      </c>
      <c r="W4556">
        <v>23.864765072904056</v>
      </c>
    </row>
    <row r="4557" spans="1:23" x14ac:dyDescent="0.35">
      <c r="A4557" t="s">
        <v>23</v>
      </c>
      <c r="B4557" t="s">
        <v>63</v>
      </c>
      <c r="W4557">
        <v>23.157682385070576</v>
      </c>
    </row>
    <row r="4558" spans="1:23" x14ac:dyDescent="0.35">
      <c r="A4558" t="s">
        <v>23</v>
      </c>
      <c r="B4558" t="s">
        <v>64</v>
      </c>
      <c r="W4558">
        <v>22.890699602902469</v>
      </c>
    </row>
    <row r="4559" spans="1:23" x14ac:dyDescent="0.35">
      <c r="A4559" t="s">
        <v>23</v>
      </c>
      <c r="B4559" t="s">
        <v>65</v>
      </c>
      <c r="W4559">
        <v>22.605821752157389</v>
      </c>
    </row>
    <row r="4560" spans="1:23" x14ac:dyDescent="0.35">
      <c r="A4560" t="s">
        <v>23</v>
      </c>
      <c r="B4560" t="s">
        <v>66</v>
      </c>
      <c r="W4560">
        <v>22.320627426375445</v>
      </c>
    </row>
    <row r="4561" spans="1:23" x14ac:dyDescent="0.35">
      <c r="A4561" t="s">
        <v>23</v>
      </c>
      <c r="B4561" t="s">
        <v>125</v>
      </c>
      <c r="W4561">
        <v>0</v>
      </c>
    </row>
    <row r="4562" spans="1:23" x14ac:dyDescent="0.35">
      <c r="A4562" t="s">
        <v>23</v>
      </c>
      <c r="B4562" t="s">
        <v>126</v>
      </c>
      <c r="W4562">
        <v>0</v>
      </c>
    </row>
    <row r="4563" spans="1:23" x14ac:dyDescent="0.35">
      <c r="A4563" t="s">
        <v>23</v>
      </c>
      <c r="B4563" t="s">
        <v>127</v>
      </c>
      <c r="W4563">
        <v>0</v>
      </c>
    </row>
    <row r="4564" spans="1:23" x14ac:dyDescent="0.35">
      <c r="A4564" t="s">
        <v>24</v>
      </c>
      <c r="B4564" t="s">
        <v>72</v>
      </c>
      <c r="W4564">
        <v>125.96309729248001</v>
      </c>
    </row>
    <row r="4565" spans="1:23" x14ac:dyDescent="0.35">
      <c r="A4565" t="s">
        <v>24</v>
      </c>
      <c r="B4565" t="s">
        <v>61</v>
      </c>
      <c r="W4565">
        <v>126.67107363508482</v>
      </c>
    </row>
    <row r="4566" spans="1:23" x14ac:dyDescent="0.35">
      <c r="A4566" t="s">
        <v>24</v>
      </c>
      <c r="B4566" t="s">
        <v>62</v>
      </c>
      <c r="W4566">
        <v>115.68268308529527</v>
      </c>
    </row>
    <row r="4567" spans="1:23" x14ac:dyDescent="0.35">
      <c r="A4567" t="s">
        <v>24</v>
      </c>
      <c r="B4567" t="s">
        <v>63</v>
      </c>
      <c r="W4567">
        <v>105.34085820612954</v>
      </c>
    </row>
    <row r="4568" spans="1:23" x14ac:dyDescent="0.35">
      <c r="A4568" t="s">
        <v>24</v>
      </c>
      <c r="B4568" t="s">
        <v>64</v>
      </c>
      <c r="W4568">
        <v>106.40417171786451</v>
      </c>
    </row>
    <row r="4569" spans="1:23" x14ac:dyDescent="0.35">
      <c r="A4569" t="s">
        <v>24</v>
      </c>
      <c r="B4569" t="s">
        <v>65</v>
      </c>
      <c r="W4569">
        <v>107.73070738436483</v>
      </c>
    </row>
    <row r="4570" spans="1:23" x14ac:dyDescent="0.35">
      <c r="A4570" t="s">
        <v>24</v>
      </c>
      <c r="B4570" t="s">
        <v>66</v>
      </c>
      <c r="W4570">
        <v>108.85945093648283</v>
      </c>
    </row>
    <row r="4571" spans="1:23" x14ac:dyDescent="0.35">
      <c r="A4571" t="s">
        <v>24</v>
      </c>
      <c r="B4571" t="s">
        <v>125</v>
      </c>
      <c r="W4571">
        <v>0</v>
      </c>
    </row>
    <row r="4572" spans="1:23" x14ac:dyDescent="0.35">
      <c r="A4572" t="s">
        <v>24</v>
      </c>
      <c r="B4572" t="s">
        <v>126</v>
      </c>
      <c r="W4572">
        <v>0</v>
      </c>
    </row>
    <row r="4573" spans="1:23" x14ac:dyDescent="0.35">
      <c r="A4573" t="s">
        <v>24</v>
      </c>
      <c r="B4573" t="s">
        <v>127</v>
      </c>
      <c r="W4573">
        <v>0</v>
      </c>
    </row>
    <row r="4574" spans="1:23" x14ac:dyDescent="0.35">
      <c r="A4574" t="s">
        <v>25</v>
      </c>
      <c r="B4574" t="s">
        <v>72</v>
      </c>
      <c r="W4574">
        <v>16.953568970710343</v>
      </c>
    </row>
    <row r="4575" spans="1:23" x14ac:dyDescent="0.35">
      <c r="A4575" t="s">
        <v>25</v>
      </c>
      <c r="B4575" t="s">
        <v>61</v>
      </c>
      <c r="W4575">
        <v>16.122536694103324</v>
      </c>
    </row>
    <row r="4576" spans="1:23" x14ac:dyDescent="0.35">
      <c r="A4576" t="s">
        <v>25</v>
      </c>
      <c r="B4576" t="s">
        <v>62</v>
      </c>
      <c r="W4576">
        <v>15.372627891117423</v>
      </c>
    </row>
    <row r="4577" spans="1:23" x14ac:dyDescent="0.35">
      <c r="A4577" t="s">
        <v>25</v>
      </c>
      <c r="B4577" t="s">
        <v>63</v>
      </c>
      <c r="W4577">
        <v>14.917156445448065</v>
      </c>
    </row>
    <row r="4578" spans="1:23" x14ac:dyDescent="0.35">
      <c r="A4578" t="s">
        <v>25</v>
      </c>
      <c r="B4578" t="s">
        <v>64</v>
      </c>
      <c r="W4578">
        <v>14.745177926025489</v>
      </c>
    </row>
    <row r="4579" spans="1:23" x14ac:dyDescent="0.35">
      <c r="A4579" t="s">
        <v>25</v>
      </c>
      <c r="B4579" t="s">
        <v>65</v>
      </c>
      <c r="W4579">
        <v>14.561672193597493</v>
      </c>
    </row>
    <row r="4580" spans="1:23" x14ac:dyDescent="0.35">
      <c r="A4580" t="s">
        <v>25</v>
      </c>
      <c r="B4580" t="s">
        <v>66</v>
      </c>
      <c r="W4580">
        <v>14.377962601924958</v>
      </c>
    </row>
    <row r="4581" spans="1:23" x14ac:dyDescent="0.35">
      <c r="A4581" t="s">
        <v>25</v>
      </c>
      <c r="B4581" t="s">
        <v>125</v>
      </c>
      <c r="W4581">
        <v>0</v>
      </c>
    </row>
    <row r="4582" spans="1:23" x14ac:dyDescent="0.35">
      <c r="A4582" t="s">
        <v>25</v>
      </c>
      <c r="B4582" t="s">
        <v>126</v>
      </c>
      <c r="W4582">
        <v>0</v>
      </c>
    </row>
    <row r="4583" spans="1:23" x14ac:dyDescent="0.35">
      <c r="A4583" t="s">
        <v>25</v>
      </c>
      <c r="B4583" t="s">
        <v>127</v>
      </c>
      <c r="W4583">
        <v>0</v>
      </c>
    </row>
    <row r="4584" spans="1:23" x14ac:dyDescent="0.35">
      <c r="A4584" t="s">
        <v>26</v>
      </c>
      <c r="B4584" t="s">
        <v>72</v>
      </c>
      <c r="W4584">
        <v>7.1095611812656276</v>
      </c>
    </row>
    <row r="4585" spans="1:23" x14ac:dyDescent="0.35">
      <c r="A4585" t="s">
        <v>26</v>
      </c>
      <c r="B4585" t="s">
        <v>61</v>
      </c>
      <c r="W4585">
        <v>6.761063774946555</v>
      </c>
    </row>
    <row r="4586" spans="1:23" x14ac:dyDescent="0.35">
      <c r="A4586" t="s">
        <v>26</v>
      </c>
      <c r="B4586" t="s">
        <v>62</v>
      </c>
      <c r="W4586">
        <v>6.4465858898234352</v>
      </c>
    </row>
    <row r="4587" spans="1:23" x14ac:dyDescent="0.35">
      <c r="A4587" t="s">
        <v>26</v>
      </c>
      <c r="B4587" t="s">
        <v>63</v>
      </c>
      <c r="W4587">
        <v>6.2555817351878975</v>
      </c>
    </row>
    <row r="4588" spans="1:23" x14ac:dyDescent="0.35">
      <c r="A4588" t="s">
        <v>26</v>
      </c>
      <c r="B4588" t="s">
        <v>64</v>
      </c>
      <c r="W4588">
        <v>6.1834617109139156</v>
      </c>
    </row>
    <row r="4589" spans="1:23" x14ac:dyDescent="0.35">
      <c r="A4589" t="s">
        <v>26</v>
      </c>
      <c r="B4589" t="s">
        <v>65</v>
      </c>
      <c r="W4589">
        <v>6.1065076940892702</v>
      </c>
    </row>
    <row r="4590" spans="1:23" x14ac:dyDescent="0.35">
      <c r="A4590" t="s">
        <v>26</v>
      </c>
      <c r="B4590" t="s">
        <v>66</v>
      </c>
      <c r="W4590">
        <v>6.0294681879040155</v>
      </c>
    </row>
    <row r="4591" spans="1:23" x14ac:dyDescent="0.35">
      <c r="A4591" t="s">
        <v>26</v>
      </c>
      <c r="B4591" t="s">
        <v>125</v>
      </c>
      <c r="W4591">
        <v>0</v>
      </c>
    </row>
    <row r="4592" spans="1:23" x14ac:dyDescent="0.35">
      <c r="A4592" t="s">
        <v>26</v>
      </c>
      <c r="B4592" t="s">
        <v>126</v>
      </c>
      <c r="W4592">
        <v>0</v>
      </c>
    </row>
    <row r="4593" spans="1:23" x14ac:dyDescent="0.35">
      <c r="A4593" t="s">
        <v>26</v>
      </c>
      <c r="B4593" t="s">
        <v>127</v>
      </c>
      <c r="W4593">
        <v>0</v>
      </c>
    </row>
    <row r="4594" spans="1:23" x14ac:dyDescent="0.35">
      <c r="A4594" t="s">
        <v>27</v>
      </c>
      <c r="B4594" t="s">
        <v>72</v>
      </c>
      <c r="W4594">
        <v>96.171021349200004</v>
      </c>
    </row>
    <row r="4595" spans="1:23" x14ac:dyDescent="0.35">
      <c r="A4595" t="s">
        <v>27</v>
      </c>
      <c r="B4595" t="s">
        <v>61</v>
      </c>
      <c r="W4595">
        <v>96.674996207804014</v>
      </c>
    </row>
    <row r="4596" spans="1:23" x14ac:dyDescent="0.35">
      <c r="A4596" t="s">
        <v>27</v>
      </c>
      <c r="B4596" t="s">
        <v>62</v>
      </c>
      <c r="W4596">
        <v>93.894161286789384</v>
      </c>
    </row>
    <row r="4597" spans="1:23" x14ac:dyDescent="0.35">
      <c r="A4597" t="s">
        <v>27</v>
      </c>
      <c r="B4597" t="s">
        <v>63</v>
      </c>
      <c r="W4597">
        <v>93.721711192202477</v>
      </c>
    </row>
    <row r="4598" spans="1:23" x14ac:dyDescent="0.35">
      <c r="A4598" t="s">
        <v>27</v>
      </c>
      <c r="B4598" t="s">
        <v>64</v>
      </c>
      <c r="W4598">
        <v>91.866033199448893</v>
      </c>
    </row>
    <row r="4599" spans="1:23" x14ac:dyDescent="0.35">
      <c r="A4599" t="s">
        <v>27</v>
      </c>
      <c r="B4599" t="s">
        <v>65</v>
      </c>
      <c r="W4599">
        <v>90.357520669919396</v>
      </c>
    </row>
    <row r="4600" spans="1:23" x14ac:dyDescent="0.35">
      <c r="A4600" t="s">
        <v>27</v>
      </c>
      <c r="B4600" t="s">
        <v>66</v>
      </c>
      <c r="W4600">
        <v>88.995345565197667</v>
      </c>
    </row>
    <row r="4601" spans="1:23" x14ac:dyDescent="0.35">
      <c r="A4601" t="s">
        <v>27</v>
      </c>
      <c r="B4601" t="s">
        <v>125</v>
      </c>
      <c r="W4601">
        <v>0</v>
      </c>
    </row>
    <row r="4602" spans="1:23" x14ac:dyDescent="0.35">
      <c r="A4602" t="s">
        <v>27</v>
      </c>
      <c r="B4602" t="s">
        <v>126</v>
      </c>
      <c r="W4602">
        <v>0</v>
      </c>
    </row>
    <row r="4603" spans="1:23" x14ac:dyDescent="0.35">
      <c r="A4603" t="s">
        <v>27</v>
      </c>
      <c r="B4603" t="s">
        <v>127</v>
      </c>
      <c r="W4603">
        <v>0</v>
      </c>
    </row>
    <row r="4604" spans="1:23" x14ac:dyDescent="0.35">
      <c r="A4604" t="s">
        <v>28</v>
      </c>
      <c r="B4604" t="s">
        <v>72</v>
      </c>
      <c r="W4604">
        <v>46.636218635257748</v>
      </c>
    </row>
    <row r="4605" spans="1:23" x14ac:dyDescent="0.35">
      <c r="A4605" t="s">
        <v>28</v>
      </c>
      <c r="B4605" t="s">
        <v>61</v>
      </c>
      <c r="W4605">
        <v>44.350198328161468</v>
      </c>
    </row>
    <row r="4606" spans="1:23" x14ac:dyDescent="0.35">
      <c r="A4606" t="s">
        <v>28</v>
      </c>
      <c r="B4606" t="s">
        <v>62</v>
      </c>
      <c r="W4606">
        <v>42.287334104529528</v>
      </c>
    </row>
    <row r="4607" spans="1:23" x14ac:dyDescent="0.35">
      <c r="A4607" t="s">
        <v>28</v>
      </c>
      <c r="B4607" t="s">
        <v>63</v>
      </c>
      <c r="W4607">
        <v>41.034414087567285</v>
      </c>
    </row>
    <row r="4608" spans="1:23" x14ac:dyDescent="0.35">
      <c r="A4608" t="s">
        <v>28</v>
      </c>
      <c r="B4608" t="s">
        <v>64</v>
      </c>
      <c r="W4608">
        <v>40.561332116082959</v>
      </c>
    </row>
    <row r="4609" spans="1:24" x14ac:dyDescent="0.35">
      <c r="A4609" t="s">
        <v>28</v>
      </c>
      <c r="B4609" t="s">
        <v>65</v>
      </c>
      <c r="W4609">
        <v>40.056540855132496</v>
      </c>
    </row>
    <row r="4610" spans="1:24" x14ac:dyDescent="0.35">
      <c r="A4610" t="s">
        <v>28</v>
      </c>
      <c r="B4610" t="s">
        <v>66</v>
      </c>
      <c r="W4610">
        <v>39.5511888140705</v>
      </c>
    </row>
    <row r="4611" spans="1:24" x14ac:dyDescent="0.35">
      <c r="A4611" t="s">
        <v>28</v>
      </c>
      <c r="B4611" t="s">
        <v>125</v>
      </c>
      <c r="W4611">
        <v>0</v>
      </c>
    </row>
    <row r="4612" spans="1:24" x14ac:dyDescent="0.35">
      <c r="A4612" t="s">
        <v>28</v>
      </c>
      <c r="B4612" t="s">
        <v>126</v>
      </c>
      <c r="W4612">
        <v>0</v>
      </c>
    </row>
    <row r="4613" spans="1:24" x14ac:dyDescent="0.35">
      <c r="A4613" t="s">
        <v>28</v>
      </c>
      <c r="B4613" t="s">
        <v>127</v>
      </c>
      <c r="W4613">
        <v>0</v>
      </c>
    </row>
    <row r="4614" spans="1:24" x14ac:dyDescent="0.35">
      <c r="A4614" t="s">
        <v>29</v>
      </c>
      <c r="B4614" t="s">
        <v>72</v>
      </c>
      <c r="W4614">
        <v>2943.5095943465299</v>
      </c>
    </row>
    <row r="4615" spans="1:24" x14ac:dyDescent="0.35">
      <c r="A4615" t="s">
        <v>29</v>
      </c>
      <c r="B4615" t="s">
        <v>61</v>
      </c>
      <c r="W4615">
        <v>2741.7046044800022</v>
      </c>
    </row>
    <row r="4616" spans="1:24" x14ac:dyDescent="0.35">
      <c r="A4616" t="s">
        <v>29</v>
      </c>
      <c r="B4616" t="s">
        <v>62</v>
      </c>
      <c r="W4616">
        <v>2597.2702044545404</v>
      </c>
    </row>
    <row r="4617" spans="1:24" x14ac:dyDescent="0.35">
      <c r="A4617" t="s">
        <v>29</v>
      </c>
      <c r="B4617" t="s">
        <v>63</v>
      </c>
      <c r="W4617">
        <v>2517.3980145731466</v>
      </c>
    </row>
    <row r="4618" spans="1:24" x14ac:dyDescent="0.35">
      <c r="A4618" t="s">
        <v>29</v>
      </c>
      <c r="B4618" t="s">
        <v>64</v>
      </c>
      <c r="W4618">
        <v>2491.6799178404904</v>
      </c>
    </row>
    <row r="4619" spans="1:24" x14ac:dyDescent="0.35">
      <c r="A4619" t="s">
        <v>29</v>
      </c>
      <c r="B4619" t="s">
        <v>65</v>
      </c>
      <c r="W4619">
        <v>2463.014362239725</v>
      </c>
    </row>
    <row r="4620" spans="1:24" x14ac:dyDescent="0.35">
      <c r="A4620" t="s">
        <v>29</v>
      </c>
      <c r="B4620" t="s">
        <v>66</v>
      </c>
      <c r="W4620">
        <v>2433.4699919791374</v>
      </c>
    </row>
    <row r="4621" spans="1:24" x14ac:dyDescent="0.35">
      <c r="A4621" t="s">
        <v>29</v>
      </c>
      <c r="B4621" t="s">
        <v>125</v>
      </c>
      <c r="W4621">
        <v>0</v>
      </c>
    </row>
    <row r="4622" spans="1:24" x14ac:dyDescent="0.35">
      <c r="A4622" t="s">
        <v>29</v>
      </c>
      <c r="B4622" t="s">
        <v>126</v>
      </c>
      <c r="W4622">
        <v>0</v>
      </c>
    </row>
    <row r="4623" spans="1:24" x14ac:dyDescent="0.35">
      <c r="A4623" t="s">
        <v>29</v>
      </c>
      <c r="B4623" t="s">
        <v>127</v>
      </c>
      <c r="W4623">
        <v>0</v>
      </c>
    </row>
    <row r="4624" spans="1:24" x14ac:dyDescent="0.35">
      <c r="A4624" t="s">
        <v>2</v>
      </c>
      <c r="B4624" t="s">
        <v>72</v>
      </c>
      <c r="X4624">
        <v>512.13218606040073</v>
      </c>
    </row>
    <row r="4625" spans="1:24" x14ac:dyDescent="0.35">
      <c r="A4625" t="s">
        <v>2</v>
      </c>
      <c r="B4625" t="s">
        <v>61</v>
      </c>
      <c r="X4625">
        <v>605.8788527270674</v>
      </c>
    </row>
    <row r="4626" spans="1:24" x14ac:dyDescent="0.35">
      <c r="A4626" t="s">
        <v>2</v>
      </c>
      <c r="B4626" t="s">
        <v>62</v>
      </c>
      <c r="X4626">
        <v>1120.572837518944</v>
      </c>
    </row>
    <row r="4627" spans="1:24" x14ac:dyDescent="0.35">
      <c r="A4627" t="s">
        <v>2</v>
      </c>
      <c r="B4627" t="s">
        <v>63</v>
      </c>
      <c r="X4627">
        <v>1465.1854438883104</v>
      </c>
    </row>
    <row r="4628" spans="1:24" x14ac:dyDescent="0.35">
      <c r="A4628" t="s">
        <v>2</v>
      </c>
      <c r="B4628" t="s">
        <v>64</v>
      </c>
      <c r="X4628">
        <v>1250.7077736830702</v>
      </c>
    </row>
    <row r="4629" spans="1:24" x14ac:dyDescent="0.35">
      <c r="A4629" t="s">
        <v>2</v>
      </c>
      <c r="B4629" t="s">
        <v>65</v>
      </c>
      <c r="X4629">
        <v>1380.8916109777506</v>
      </c>
    </row>
    <row r="4630" spans="1:24" x14ac:dyDescent="0.35">
      <c r="A4630" t="s">
        <v>2</v>
      </c>
      <c r="B4630" t="s">
        <v>66</v>
      </c>
      <c r="X4630">
        <v>978.02442320079115</v>
      </c>
    </row>
    <row r="4631" spans="1:24" x14ac:dyDescent="0.35">
      <c r="A4631" t="s">
        <v>3</v>
      </c>
      <c r="B4631" t="s">
        <v>72</v>
      </c>
      <c r="X4631">
        <v>786.68932131673239</v>
      </c>
    </row>
    <row r="4632" spans="1:24" x14ac:dyDescent="0.35">
      <c r="A4632" t="s">
        <v>3</v>
      </c>
      <c r="B4632" t="s">
        <v>61</v>
      </c>
      <c r="X4632">
        <v>1055.2893213167322</v>
      </c>
    </row>
    <row r="4633" spans="1:24" x14ac:dyDescent="0.35">
      <c r="A4633" t="s">
        <v>3</v>
      </c>
      <c r="B4633" t="s">
        <v>62</v>
      </c>
      <c r="X4633">
        <v>1743.537069796422</v>
      </c>
    </row>
    <row r="4634" spans="1:24" x14ac:dyDescent="0.35">
      <c r="A4634" t="s">
        <v>3</v>
      </c>
      <c r="B4634" t="s">
        <v>63</v>
      </c>
      <c r="X4634">
        <v>2236.1396919947761</v>
      </c>
    </row>
    <row r="4635" spans="1:24" x14ac:dyDescent="0.35">
      <c r="A4635" t="s">
        <v>3</v>
      </c>
      <c r="B4635" t="s">
        <v>64</v>
      </c>
      <c r="X4635">
        <v>1925.4321638602196</v>
      </c>
    </row>
    <row r="4636" spans="1:24" x14ac:dyDescent="0.35">
      <c r="A4636" t="s">
        <v>3</v>
      </c>
      <c r="B4636" t="s">
        <v>65</v>
      </c>
      <c r="X4636">
        <v>2108.6687531662528</v>
      </c>
    </row>
    <row r="4637" spans="1:24" x14ac:dyDescent="0.35">
      <c r="A4637" t="s">
        <v>3</v>
      </c>
      <c r="B4637" t="s">
        <v>66</v>
      </c>
      <c r="X4637">
        <v>1524.7375858002661</v>
      </c>
    </row>
    <row r="4638" spans="1:24" x14ac:dyDescent="0.35">
      <c r="A4638" t="s">
        <v>4</v>
      </c>
      <c r="B4638" t="s">
        <v>72</v>
      </c>
      <c r="X4638">
        <v>315.80029887523727</v>
      </c>
    </row>
    <row r="4639" spans="1:24" x14ac:dyDescent="0.35">
      <c r="A4639" t="s">
        <v>4</v>
      </c>
      <c r="B4639" t="s">
        <v>61</v>
      </c>
      <c r="X4639">
        <v>721.33363220857063</v>
      </c>
    </row>
    <row r="4640" spans="1:24" x14ac:dyDescent="0.35">
      <c r="A4640" t="s">
        <v>4</v>
      </c>
      <c r="B4640" t="s">
        <v>62</v>
      </c>
      <c r="X4640">
        <v>752.99618536486923</v>
      </c>
    </row>
    <row r="4641" spans="1:24" x14ac:dyDescent="0.35">
      <c r="A4641" t="s">
        <v>4</v>
      </c>
      <c r="B4641" t="s">
        <v>63</v>
      </c>
      <c r="X4641">
        <v>862.90928449692228</v>
      </c>
    </row>
    <row r="4642" spans="1:24" x14ac:dyDescent="0.35">
      <c r="A4642" t="s">
        <v>4</v>
      </c>
      <c r="B4642" t="s">
        <v>64</v>
      </c>
      <c r="X4642">
        <v>782.99056010437437</v>
      </c>
    </row>
    <row r="4643" spans="1:24" x14ac:dyDescent="0.35">
      <c r="A4643" t="s">
        <v>4</v>
      </c>
      <c r="B4643" t="s">
        <v>65</v>
      </c>
      <c r="X4643">
        <v>816.54935067466499</v>
      </c>
    </row>
    <row r="4644" spans="1:24" x14ac:dyDescent="0.35">
      <c r="A4644" t="s">
        <v>4</v>
      </c>
      <c r="B4644" t="s">
        <v>66</v>
      </c>
      <c r="X4644">
        <v>665.56979442376075</v>
      </c>
    </row>
    <row r="4645" spans="1:24" x14ac:dyDescent="0.35">
      <c r="A4645" t="s">
        <v>5</v>
      </c>
      <c r="B4645" t="s">
        <v>72</v>
      </c>
      <c r="X4645">
        <v>198.60388332457524</v>
      </c>
    </row>
    <row r="4646" spans="1:24" x14ac:dyDescent="0.35">
      <c r="A4646" t="s">
        <v>5</v>
      </c>
      <c r="B4646" t="s">
        <v>61</v>
      </c>
      <c r="X4646">
        <v>402.95054999124187</v>
      </c>
    </row>
    <row r="4647" spans="1:24" x14ac:dyDescent="0.35">
      <c r="A4647" t="s">
        <v>5</v>
      </c>
      <c r="B4647" t="s">
        <v>62</v>
      </c>
      <c r="X4647">
        <v>464.51313209638192</v>
      </c>
    </row>
    <row r="4648" spans="1:24" x14ac:dyDescent="0.35">
      <c r="A4648" t="s">
        <v>5</v>
      </c>
      <c r="B4648" t="s">
        <v>63</v>
      </c>
      <c r="X4648">
        <v>548.59120030607369</v>
      </c>
    </row>
    <row r="4649" spans="1:24" x14ac:dyDescent="0.35">
      <c r="A4649" t="s">
        <v>5</v>
      </c>
      <c r="B4649" t="s">
        <v>64</v>
      </c>
      <c r="X4649">
        <v>490.70174444602071</v>
      </c>
    </row>
    <row r="4650" spans="1:24" x14ac:dyDescent="0.35">
      <c r="A4650" t="s">
        <v>5</v>
      </c>
      <c r="B4650" t="s">
        <v>65</v>
      </c>
      <c r="X4650">
        <v>518.61677997453364</v>
      </c>
    </row>
    <row r="4651" spans="1:24" x14ac:dyDescent="0.35">
      <c r="A4651" t="s">
        <v>5</v>
      </c>
      <c r="B4651" t="s">
        <v>66</v>
      </c>
      <c r="X4651">
        <v>409.46232693688904</v>
      </c>
    </row>
    <row r="4652" spans="1:24" x14ac:dyDescent="0.35">
      <c r="A4652" t="s">
        <v>6</v>
      </c>
      <c r="B4652" t="s">
        <v>72</v>
      </c>
      <c r="X4652">
        <v>42.225467032553162</v>
      </c>
    </row>
    <row r="4653" spans="1:24" x14ac:dyDescent="0.35">
      <c r="A4653" t="s">
        <v>6</v>
      </c>
      <c r="B4653" t="s">
        <v>61</v>
      </c>
      <c r="X4653">
        <v>63.292133699219832</v>
      </c>
    </row>
    <row r="4654" spans="1:24" x14ac:dyDescent="0.35">
      <c r="A4654" t="s">
        <v>6</v>
      </c>
      <c r="B4654" t="s">
        <v>62</v>
      </c>
      <c r="X4654">
        <v>94.769956872191855</v>
      </c>
    </row>
    <row r="4655" spans="1:24" x14ac:dyDescent="0.35">
      <c r="A4655" t="s">
        <v>6</v>
      </c>
      <c r="B4655" t="s">
        <v>63</v>
      </c>
      <c r="X4655">
        <v>119.24854655912694</v>
      </c>
    </row>
    <row r="4656" spans="1:24" x14ac:dyDescent="0.35">
      <c r="A4656" t="s">
        <v>6</v>
      </c>
      <c r="B4656" t="s">
        <v>64</v>
      </c>
      <c r="X4656">
        <v>103.57218682424096</v>
      </c>
    </row>
    <row r="4657" spans="1:24" x14ac:dyDescent="0.35">
      <c r="A4657" t="s">
        <v>6</v>
      </c>
      <c r="B4657" t="s">
        <v>65</v>
      </c>
      <c r="X4657">
        <v>112.51400742206501</v>
      </c>
    </row>
    <row r="4658" spans="1:24" x14ac:dyDescent="0.35">
      <c r="A4658" t="s">
        <v>6</v>
      </c>
      <c r="B4658" t="s">
        <v>66</v>
      </c>
      <c r="X4658">
        <v>83.034989737854261</v>
      </c>
    </row>
    <row r="4659" spans="1:24" x14ac:dyDescent="0.35">
      <c r="A4659" t="s">
        <v>7</v>
      </c>
      <c r="B4659" t="s">
        <v>72</v>
      </c>
      <c r="X4659">
        <v>547.93081417472126</v>
      </c>
    </row>
    <row r="4660" spans="1:24" x14ac:dyDescent="0.35">
      <c r="A4660" t="s">
        <v>7</v>
      </c>
      <c r="B4660" t="s">
        <v>61</v>
      </c>
      <c r="X4660">
        <v>800.73081417472122</v>
      </c>
    </row>
    <row r="4661" spans="1:24" x14ac:dyDescent="0.35">
      <c r="A4661" t="s">
        <v>7</v>
      </c>
      <c r="B4661" t="s">
        <v>62</v>
      </c>
      <c r="X4661">
        <v>1226.0967636518681</v>
      </c>
    </row>
    <row r="4662" spans="1:24" x14ac:dyDescent="0.35">
      <c r="A4662" t="s">
        <v>7</v>
      </c>
      <c r="B4662" t="s">
        <v>63</v>
      </c>
      <c r="X4662">
        <v>1549.8065625697723</v>
      </c>
    </row>
    <row r="4663" spans="1:24" x14ac:dyDescent="0.35">
      <c r="A4663" t="s">
        <v>7</v>
      </c>
      <c r="B4663" t="s">
        <v>64</v>
      </c>
      <c r="X4663">
        <v>1343.2895871360572</v>
      </c>
    </row>
    <row r="4664" spans="1:24" x14ac:dyDescent="0.35">
      <c r="A4664" t="s">
        <v>7</v>
      </c>
      <c r="B4664" t="s">
        <v>65</v>
      </c>
      <c r="X4664">
        <v>1462.0847341820331</v>
      </c>
    </row>
    <row r="4665" spans="1:24" x14ac:dyDescent="0.35">
      <c r="A4665" t="s">
        <v>7</v>
      </c>
      <c r="B4665" t="s">
        <v>66</v>
      </c>
      <c r="X4665">
        <v>1073.7921132916026</v>
      </c>
    </row>
    <row r="4666" spans="1:24" x14ac:dyDescent="0.35">
      <c r="A4666" t="s">
        <v>8</v>
      </c>
      <c r="B4666" t="s">
        <v>72</v>
      </c>
      <c r="X4666">
        <v>232.71234937199475</v>
      </c>
    </row>
    <row r="4667" spans="1:24" x14ac:dyDescent="0.35">
      <c r="A4667" t="s">
        <v>8</v>
      </c>
      <c r="B4667" t="s">
        <v>61</v>
      </c>
      <c r="X4667">
        <v>285.3790160386614</v>
      </c>
    </row>
    <row r="4668" spans="1:24" x14ac:dyDescent="0.35">
      <c r="A4668" t="s">
        <v>8</v>
      </c>
      <c r="B4668" t="s">
        <v>62</v>
      </c>
      <c r="X4668">
        <v>510.98259205432038</v>
      </c>
    </row>
    <row r="4669" spans="1:24" x14ac:dyDescent="0.35">
      <c r="A4669" t="s">
        <v>8</v>
      </c>
      <c r="B4669" t="s">
        <v>63</v>
      </c>
      <c r="X4669">
        <v>664.60380602742487</v>
      </c>
    </row>
    <row r="4670" spans="1:24" x14ac:dyDescent="0.35">
      <c r="A4670" t="s">
        <v>8</v>
      </c>
      <c r="B4670" t="s">
        <v>64</v>
      </c>
      <c r="X4670">
        <v>568.66075189850267</v>
      </c>
    </row>
    <row r="4671" spans="1:24" x14ac:dyDescent="0.35">
      <c r="A4671" t="s">
        <v>8</v>
      </c>
      <c r="B4671" t="s">
        <v>65</v>
      </c>
      <c r="X4671">
        <v>626.46346571446759</v>
      </c>
    </row>
    <row r="4672" spans="1:24" x14ac:dyDescent="0.35">
      <c r="A4672" t="s">
        <v>8</v>
      </c>
      <c r="B4672" t="s">
        <v>66</v>
      </c>
      <c r="X4672">
        <v>446.22247272853872</v>
      </c>
    </row>
    <row r="4673" spans="1:24" x14ac:dyDescent="0.35">
      <c r="A4673" t="s">
        <v>9</v>
      </c>
      <c r="B4673" t="s">
        <v>72</v>
      </c>
      <c r="X4673">
        <v>57.483746089222414</v>
      </c>
    </row>
    <row r="4674" spans="1:24" x14ac:dyDescent="0.35">
      <c r="A4674" t="s">
        <v>9</v>
      </c>
      <c r="B4674" t="s">
        <v>61</v>
      </c>
      <c r="X4674">
        <v>88.030412755889074</v>
      </c>
    </row>
    <row r="4675" spans="1:24" x14ac:dyDescent="0.35">
      <c r="A4675" t="s">
        <v>9</v>
      </c>
      <c r="B4675" t="s">
        <v>62</v>
      </c>
      <c r="X4675">
        <v>129.34834277256425</v>
      </c>
    </row>
    <row r="4676" spans="1:24" x14ac:dyDescent="0.35">
      <c r="A4676" t="s">
        <v>9</v>
      </c>
      <c r="B4676" t="s">
        <v>63</v>
      </c>
      <c r="X4676">
        <v>162.12136878584056</v>
      </c>
    </row>
    <row r="4677" spans="1:24" x14ac:dyDescent="0.35">
      <c r="A4677" t="s">
        <v>9</v>
      </c>
      <c r="B4677" t="s">
        <v>64</v>
      </c>
      <c r="X4677">
        <v>141.06139664765345</v>
      </c>
    </row>
    <row r="4678" spans="1:24" x14ac:dyDescent="0.35">
      <c r="A4678" t="s">
        <v>9</v>
      </c>
      <c r="B4678" t="s">
        <v>65</v>
      </c>
      <c r="X4678">
        <v>152.98346382742488</v>
      </c>
    </row>
    <row r="4679" spans="1:24" x14ac:dyDescent="0.35">
      <c r="A4679" t="s">
        <v>9</v>
      </c>
      <c r="B4679" t="s">
        <v>66</v>
      </c>
      <c r="X4679">
        <v>113.3754635632052</v>
      </c>
    </row>
    <row r="4680" spans="1:24" x14ac:dyDescent="0.35">
      <c r="A4680" t="s">
        <v>10</v>
      </c>
      <c r="B4680" t="s">
        <v>72</v>
      </c>
      <c r="X4680">
        <v>245.08159478569718</v>
      </c>
    </row>
    <row r="4681" spans="1:24" x14ac:dyDescent="0.35">
      <c r="A4681" t="s">
        <v>10</v>
      </c>
      <c r="B4681" t="s">
        <v>61</v>
      </c>
      <c r="X4681">
        <v>338.82826145236385</v>
      </c>
    </row>
    <row r="4682" spans="1:24" x14ac:dyDescent="0.35">
      <c r="A4682" t="s">
        <v>10</v>
      </c>
      <c r="B4682" t="s">
        <v>62</v>
      </c>
      <c r="X4682">
        <v>544.96898725473886</v>
      </c>
    </row>
    <row r="4683" spans="1:24" x14ac:dyDescent="0.35">
      <c r="A4683" t="s">
        <v>10</v>
      </c>
      <c r="B4683" t="s">
        <v>63</v>
      </c>
      <c r="X4683">
        <v>695.46175649646148</v>
      </c>
    </row>
    <row r="4684" spans="1:24" x14ac:dyDescent="0.35">
      <c r="A4684" t="s">
        <v>10</v>
      </c>
      <c r="B4684" t="s">
        <v>64</v>
      </c>
      <c r="X4684">
        <v>600.1807329241559</v>
      </c>
    </row>
    <row r="4685" spans="1:24" x14ac:dyDescent="0.35">
      <c r="A4685" t="s">
        <v>10</v>
      </c>
      <c r="B4685" t="s">
        <v>65</v>
      </c>
      <c r="X4685">
        <v>655.91273497981877</v>
      </c>
    </row>
    <row r="4686" spans="1:24" x14ac:dyDescent="0.35">
      <c r="A4686" t="s">
        <v>10</v>
      </c>
      <c r="B4686" t="s">
        <v>66</v>
      </c>
      <c r="X4686">
        <v>476.81893274823801</v>
      </c>
    </row>
    <row r="4687" spans="1:24" x14ac:dyDescent="0.35">
      <c r="A4687" t="s">
        <v>11</v>
      </c>
      <c r="B4687" t="s">
        <v>72</v>
      </c>
      <c r="X4687">
        <v>3231.2374439988944</v>
      </c>
    </row>
    <row r="4688" spans="1:24" x14ac:dyDescent="0.35">
      <c r="A4688" t="s">
        <v>11</v>
      </c>
      <c r="B4688" t="s">
        <v>61</v>
      </c>
      <c r="X4688">
        <v>4409.9174439988947</v>
      </c>
    </row>
    <row r="4689" spans="1:24" x14ac:dyDescent="0.35">
      <c r="A4689" t="s">
        <v>11</v>
      </c>
      <c r="B4689" t="s">
        <v>62</v>
      </c>
      <c r="X4689">
        <v>7174.8334784723811</v>
      </c>
    </row>
    <row r="4690" spans="1:24" x14ac:dyDescent="0.35">
      <c r="A4690" t="s">
        <v>11</v>
      </c>
      <c r="B4690" t="s">
        <v>63</v>
      </c>
      <c r="X4690">
        <v>9175.8874827642157</v>
      </c>
    </row>
    <row r="4691" spans="1:24" x14ac:dyDescent="0.35">
      <c r="A4691" t="s">
        <v>11</v>
      </c>
      <c r="B4691" t="s">
        <v>64</v>
      </c>
      <c r="X4691">
        <v>7911.0453441006421</v>
      </c>
    </row>
    <row r="4692" spans="1:24" x14ac:dyDescent="0.35">
      <c r="A4692" t="s">
        <v>11</v>
      </c>
      <c r="B4692" t="s">
        <v>65</v>
      </c>
      <c r="X4692">
        <v>8653.5339753754124</v>
      </c>
    </row>
    <row r="4693" spans="1:24" x14ac:dyDescent="0.35">
      <c r="A4693" t="s">
        <v>11</v>
      </c>
      <c r="B4693" t="s">
        <v>66</v>
      </c>
      <c r="X4693">
        <v>6276.2422554446293</v>
      </c>
    </row>
    <row r="4694" spans="1:24" x14ac:dyDescent="0.35">
      <c r="A4694" t="s">
        <v>12</v>
      </c>
      <c r="B4694" t="s">
        <v>72</v>
      </c>
      <c r="X4694">
        <v>4559.1306791947191</v>
      </c>
    </row>
    <row r="4695" spans="1:24" x14ac:dyDescent="0.35">
      <c r="A4695" t="s">
        <v>12</v>
      </c>
      <c r="B4695" t="s">
        <v>61</v>
      </c>
      <c r="X4695">
        <v>5420.7573458613861</v>
      </c>
    </row>
    <row r="4696" spans="1:24" x14ac:dyDescent="0.35">
      <c r="A4696" t="s">
        <v>12</v>
      </c>
      <c r="B4696" t="s">
        <v>62</v>
      </c>
      <c r="X4696">
        <v>9980.4510191099744</v>
      </c>
    </row>
    <row r="4697" spans="1:24" x14ac:dyDescent="0.35">
      <c r="A4697" t="s">
        <v>12</v>
      </c>
      <c r="B4697" t="s">
        <v>63</v>
      </c>
      <c r="X4697">
        <v>13040.293510403892</v>
      </c>
    </row>
    <row r="4698" spans="1:24" x14ac:dyDescent="0.35">
      <c r="A4698" t="s">
        <v>12</v>
      </c>
      <c r="B4698" t="s">
        <v>64</v>
      </c>
      <c r="X4698">
        <v>11135.033196290158</v>
      </c>
    </row>
    <row r="4699" spans="1:24" x14ac:dyDescent="0.35">
      <c r="A4699" t="s">
        <v>12</v>
      </c>
      <c r="B4699" t="s">
        <v>65</v>
      </c>
      <c r="X4699">
        <v>12290.325842106104</v>
      </c>
    </row>
    <row r="4700" spans="1:24" x14ac:dyDescent="0.35">
      <c r="A4700" t="s">
        <v>12</v>
      </c>
      <c r="B4700" t="s">
        <v>66</v>
      </c>
      <c r="X4700">
        <v>8711.4857943784336</v>
      </c>
    </row>
    <row r="4701" spans="1:24" x14ac:dyDescent="0.35">
      <c r="A4701" t="s">
        <v>13</v>
      </c>
      <c r="B4701" t="s">
        <v>72</v>
      </c>
      <c r="X4701">
        <v>509.61162674898094</v>
      </c>
    </row>
    <row r="4702" spans="1:24" x14ac:dyDescent="0.35">
      <c r="A4702" t="s">
        <v>13</v>
      </c>
      <c r="B4702" t="s">
        <v>61</v>
      </c>
      <c r="X4702">
        <v>1091.0516267489809</v>
      </c>
    </row>
    <row r="4703" spans="1:24" x14ac:dyDescent="0.35">
      <c r="A4703" t="s">
        <v>13</v>
      </c>
      <c r="B4703" t="s">
        <v>62</v>
      </c>
      <c r="X4703">
        <v>1202.1078310602834</v>
      </c>
    </row>
    <row r="4704" spans="1:24" x14ac:dyDescent="0.35">
      <c r="A4704" t="s">
        <v>13</v>
      </c>
      <c r="B4704" t="s">
        <v>63</v>
      </c>
      <c r="X4704">
        <v>1401.0058269938374</v>
      </c>
    </row>
    <row r="4705" spans="1:24" x14ac:dyDescent="0.35">
      <c r="A4705" t="s">
        <v>13</v>
      </c>
      <c r="B4705" t="s">
        <v>64</v>
      </c>
      <c r="X4705">
        <v>1261.0562550181319</v>
      </c>
    </row>
    <row r="4706" spans="1:24" x14ac:dyDescent="0.35">
      <c r="A4706" t="s">
        <v>13</v>
      </c>
      <c r="B4706" t="s">
        <v>65</v>
      </c>
      <c r="X4706">
        <v>1325.0149145994128</v>
      </c>
    </row>
    <row r="4707" spans="1:24" x14ac:dyDescent="0.35">
      <c r="A4707" t="s">
        <v>13</v>
      </c>
      <c r="B4707" t="s">
        <v>66</v>
      </c>
      <c r="X4707">
        <v>1060.9270044352775</v>
      </c>
    </row>
    <row r="4708" spans="1:24" x14ac:dyDescent="0.35">
      <c r="A4708" t="s">
        <v>14</v>
      </c>
      <c r="B4708" t="s">
        <v>72</v>
      </c>
      <c r="X4708">
        <v>501.68784576309463</v>
      </c>
    </row>
    <row r="4709" spans="1:24" x14ac:dyDescent="0.35">
      <c r="A4709" t="s">
        <v>14</v>
      </c>
      <c r="B4709" t="s">
        <v>61</v>
      </c>
      <c r="X4709">
        <v>957.78117909642799</v>
      </c>
    </row>
    <row r="4710" spans="1:24" x14ac:dyDescent="0.35">
      <c r="A4710" t="s">
        <v>14</v>
      </c>
      <c r="B4710" t="s">
        <v>62</v>
      </c>
      <c r="X4710">
        <v>1162.676400105343</v>
      </c>
    </row>
    <row r="4711" spans="1:24" x14ac:dyDescent="0.35">
      <c r="A4711" t="s">
        <v>14</v>
      </c>
      <c r="B4711" t="s">
        <v>63</v>
      </c>
      <c r="X4711">
        <v>1392.795152901097</v>
      </c>
    </row>
    <row r="4712" spans="1:24" x14ac:dyDescent="0.35">
      <c r="A4712" t="s">
        <v>14</v>
      </c>
      <c r="B4712" t="s">
        <v>64</v>
      </c>
      <c r="X4712">
        <v>1237.5163063082407</v>
      </c>
    </row>
    <row r="4713" spans="1:24" x14ac:dyDescent="0.35">
      <c r="A4713" t="s">
        <v>14</v>
      </c>
      <c r="B4713" t="s">
        <v>65</v>
      </c>
      <c r="X4713">
        <v>1316.1064179793516</v>
      </c>
    </row>
    <row r="4714" spans="1:24" x14ac:dyDescent="0.35">
      <c r="A4714" t="s">
        <v>14</v>
      </c>
      <c r="B4714" t="s">
        <v>66</v>
      </c>
      <c r="X4714">
        <v>1023.5320663374099</v>
      </c>
    </row>
    <row r="4715" spans="1:24" x14ac:dyDescent="0.35">
      <c r="A4715" t="s">
        <v>15</v>
      </c>
      <c r="B4715" t="s">
        <v>72</v>
      </c>
      <c r="X4715">
        <v>314.77088220924941</v>
      </c>
    </row>
    <row r="4716" spans="1:24" x14ac:dyDescent="0.35">
      <c r="A4716" t="s">
        <v>15</v>
      </c>
      <c r="B4716" t="s">
        <v>61</v>
      </c>
      <c r="X4716">
        <v>422.21088220924941</v>
      </c>
    </row>
    <row r="4717" spans="1:24" x14ac:dyDescent="0.35">
      <c r="A4717" t="s">
        <v>15</v>
      </c>
      <c r="B4717" t="s">
        <v>62</v>
      </c>
      <c r="X4717">
        <v>697.61992323696836</v>
      </c>
    </row>
    <row r="4718" spans="1:24" x14ac:dyDescent="0.35">
      <c r="A4718" t="s">
        <v>15</v>
      </c>
      <c r="B4718" t="s">
        <v>63</v>
      </c>
      <c r="X4718">
        <v>894.7301395997888</v>
      </c>
    </row>
    <row r="4719" spans="1:24" x14ac:dyDescent="0.35">
      <c r="A4719" t="s">
        <v>15</v>
      </c>
      <c r="B4719" t="s">
        <v>64</v>
      </c>
      <c r="X4719">
        <v>770.40465699317338</v>
      </c>
    </row>
    <row r="4720" spans="1:24" x14ac:dyDescent="0.35">
      <c r="A4720" t="s">
        <v>15</v>
      </c>
      <c r="B4720" t="s">
        <v>65</v>
      </c>
      <c r="X4720">
        <v>843.72582089611694</v>
      </c>
    </row>
    <row r="4721" spans="1:24" x14ac:dyDescent="0.35">
      <c r="A4721" t="s">
        <v>15</v>
      </c>
      <c r="B4721" t="s">
        <v>66</v>
      </c>
      <c r="X4721">
        <v>610.07362051198265</v>
      </c>
    </row>
    <row r="4722" spans="1:24" x14ac:dyDescent="0.35">
      <c r="A4722" t="s">
        <v>16</v>
      </c>
      <c r="B4722" t="s">
        <v>72</v>
      </c>
      <c r="X4722">
        <v>2783.544592229493</v>
      </c>
    </row>
    <row r="4723" spans="1:24" x14ac:dyDescent="0.35">
      <c r="A4723" t="s">
        <v>16</v>
      </c>
      <c r="B4723" t="s">
        <v>61</v>
      </c>
      <c r="X4723">
        <v>3922.1979255628266</v>
      </c>
    </row>
    <row r="4724" spans="1:24" x14ac:dyDescent="0.35">
      <c r="A4724" t="s">
        <v>16</v>
      </c>
      <c r="B4724" t="s">
        <v>62</v>
      </c>
      <c r="X4724">
        <v>6202.7335177760378</v>
      </c>
    </row>
    <row r="4725" spans="1:24" x14ac:dyDescent="0.35">
      <c r="A4725" t="s">
        <v>16</v>
      </c>
      <c r="B4725" t="s">
        <v>63</v>
      </c>
      <c r="X4725">
        <v>7890.1672335105441</v>
      </c>
    </row>
    <row r="4726" spans="1:24" x14ac:dyDescent="0.35">
      <c r="A4726" t="s">
        <v>16</v>
      </c>
      <c r="B4726" t="s">
        <v>64</v>
      </c>
      <c r="X4726">
        <v>6819.1260365560202</v>
      </c>
    </row>
    <row r="4727" spans="1:24" x14ac:dyDescent="0.35">
      <c r="A4727" t="s">
        <v>16</v>
      </c>
      <c r="B4727" t="s">
        <v>65</v>
      </c>
      <c r="X4727">
        <v>7442.1786886191721</v>
      </c>
    </row>
    <row r="4728" spans="1:24" x14ac:dyDescent="0.35">
      <c r="A4728" t="s">
        <v>16</v>
      </c>
      <c r="B4728" t="s">
        <v>66</v>
      </c>
      <c r="X4728">
        <v>5428.8116696203624</v>
      </c>
    </row>
    <row r="4729" spans="1:24" x14ac:dyDescent="0.35">
      <c r="A4729" t="s">
        <v>17</v>
      </c>
      <c r="B4729" t="s">
        <v>72</v>
      </c>
      <c r="X4729">
        <v>86.041190728593421</v>
      </c>
    </row>
    <row r="4730" spans="1:24" x14ac:dyDescent="0.35">
      <c r="A4730" t="s">
        <v>17</v>
      </c>
      <c r="B4730" t="s">
        <v>61</v>
      </c>
      <c r="X4730">
        <v>160.82785739526008</v>
      </c>
    </row>
    <row r="4731" spans="1:24" x14ac:dyDescent="0.35">
      <c r="A4731" t="s">
        <v>17</v>
      </c>
      <c r="B4731" t="s">
        <v>62</v>
      </c>
      <c r="X4731">
        <v>198.79047128606609</v>
      </c>
    </row>
    <row r="4732" spans="1:24" x14ac:dyDescent="0.35">
      <c r="A4732" t="s">
        <v>17</v>
      </c>
      <c r="B4732" t="s">
        <v>63</v>
      </c>
      <c r="X4732">
        <v>239.27001737083037</v>
      </c>
    </row>
    <row r="4733" spans="1:24" x14ac:dyDescent="0.35">
      <c r="A4733" t="s">
        <v>17</v>
      </c>
      <c r="B4733" t="s">
        <v>64</v>
      </c>
      <c r="X4733">
        <v>212.12217078572331</v>
      </c>
    </row>
    <row r="4734" spans="1:24" x14ac:dyDescent="0.35">
      <c r="A4734" t="s">
        <v>17</v>
      </c>
      <c r="B4734" t="s">
        <v>65</v>
      </c>
      <c r="X4734">
        <v>226.06213121764577</v>
      </c>
    </row>
    <row r="4735" spans="1:24" x14ac:dyDescent="0.35">
      <c r="A4735" t="s">
        <v>17</v>
      </c>
      <c r="B4735" t="s">
        <v>66</v>
      </c>
      <c r="X4735">
        <v>174.92205318885004</v>
      </c>
    </row>
    <row r="4736" spans="1:24" x14ac:dyDescent="0.35">
      <c r="A4736" t="s">
        <v>18</v>
      </c>
      <c r="B4736" t="s">
        <v>72</v>
      </c>
      <c r="X4736">
        <v>137.28775151908243</v>
      </c>
    </row>
    <row r="4737" spans="1:24" x14ac:dyDescent="0.35">
      <c r="A4737" t="s">
        <v>18</v>
      </c>
      <c r="B4737" t="s">
        <v>61</v>
      </c>
      <c r="X4737">
        <v>244.72775151908246</v>
      </c>
    </row>
    <row r="4738" spans="1:24" x14ac:dyDescent="0.35">
      <c r="A4738" t="s">
        <v>18</v>
      </c>
      <c r="B4738" t="s">
        <v>62</v>
      </c>
      <c r="X4738">
        <v>315.07078565757394</v>
      </c>
    </row>
    <row r="4739" spans="1:24" x14ac:dyDescent="0.35">
      <c r="A4739" t="s">
        <v>18</v>
      </c>
      <c r="B4739" t="s">
        <v>63</v>
      </c>
      <c r="X4739">
        <v>383.16800767341988</v>
      </c>
    </row>
    <row r="4740" spans="1:24" x14ac:dyDescent="0.35">
      <c r="A4740" t="s">
        <v>18</v>
      </c>
      <c r="B4740" t="s">
        <v>64</v>
      </c>
      <c r="X4740">
        <v>338.0612001171101</v>
      </c>
    </row>
    <row r="4741" spans="1:24" x14ac:dyDescent="0.35">
      <c r="A4741" t="s">
        <v>18</v>
      </c>
      <c r="B4741" t="s">
        <v>65</v>
      </c>
      <c r="X4741">
        <v>361.90130973451352</v>
      </c>
    </row>
    <row r="4742" spans="1:24" x14ac:dyDescent="0.35">
      <c r="A4742" t="s">
        <v>18</v>
      </c>
      <c r="B4742" t="s">
        <v>66</v>
      </c>
      <c r="X4742">
        <v>276.96999718723612</v>
      </c>
    </row>
    <row r="4743" spans="1:24" x14ac:dyDescent="0.35">
      <c r="A4743" t="s">
        <v>19</v>
      </c>
      <c r="B4743" t="s">
        <v>72</v>
      </c>
      <c r="X4743">
        <v>103.45790708504438</v>
      </c>
    </row>
    <row r="4744" spans="1:24" x14ac:dyDescent="0.35">
      <c r="A4744" t="s">
        <v>19</v>
      </c>
      <c r="B4744" t="s">
        <v>61</v>
      </c>
      <c r="X4744">
        <v>113.99124041837771</v>
      </c>
    </row>
    <row r="4745" spans="1:24" x14ac:dyDescent="0.35">
      <c r="A4745" t="s">
        <v>19</v>
      </c>
      <c r="B4745" t="s">
        <v>62</v>
      </c>
      <c r="X4745">
        <v>224.87269239551009</v>
      </c>
    </row>
    <row r="4746" spans="1:24" x14ac:dyDescent="0.35">
      <c r="A4746" t="s">
        <v>19</v>
      </c>
      <c r="B4746" t="s">
        <v>63</v>
      </c>
      <c r="X4746">
        <v>296.96892897094267</v>
      </c>
    </row>
    <row r="4747" spans="1:24" x14ac:dyDescent="0.35">
      <c r="A4747" t="s">
        <v>19</v>
      </c>
      <c r="B4747" t="s">
        <v>64</v>
      </c>
      <c r="X4747">
        <v>252.37640787941493</v>
      </c>
    </row>
    <row r="4748" spans="1:24" x14ac:dyDescent="0.35">
      <c r="A4748" t="s">
        <v>19</v>
      </c>
      <c r="B4748" t="s">
        <v>65</v>
      </c>
      <c r="X4748">
        <v>279.80457607469202</v>
      </c>
    </row>
    <row r="4749" spans="1:24" x14ac:dyDescent="0.35">
      <c r="A4749" t="s">
        <v>19</v>
      </c>
      <c r="B4749" t="s">
        <v>66</v>
      </c>
      <c r="X4749">
        <v>196.06444010478432</v>
      </c>
    </row>
    <row r="4750" spans="1:24" x14ac:dyDescent="0.35">
      <c r="A4750" t="s">
        <v>20</v>
      </c>
      <c r="B4750" t="s">
        <v>72</v>
      </c>
      <c r="X4750">
        <v>12.555247753785933</v>
      </c>
    </row>
    <row r="4751" spans="1:24" x14ac:dyDescent="0.35">
      <c r="A4751" t="s">
        <v>20</v>
      </c>
      <c r="B4751" t="s">
        <v>61</v>
      </c>
      <c r="X4751">
        <v>19.928581087119269</v>
      </c>
    </row>
    <row r="4752" spans="1:24" x14ac:dyDescent="0.35">
      <c r="A4752" t="s">
        <v>20</v>
      </c>
      <c r="B4752" t="s">
        <v>62</v>
      </c>
      <c r="X4752">
        <v>28.376570810263992</v>
      </c>
    </row>
    <row r="4753" spans="1:24" x14ac:dyDescent="0.35">
      <c r="A4753" t="s">
        <v>20</v>
      </c>
      <c r="B4753" t="s">
        <v>63</v>
      </c>
      <c r="X4753">
        <v>35.327688250093139</v>
      </c>
    </row>
    <row r="4754" spans="1:24" x14ac:dyDescent="0.35">
      <c r="A4754" t="s">
        <v>20</v>
      </c>
      <c r="B4754" t="s">
        <v>64</v>
      </c>
      <c r="X4754">
        <v>30.833484000724415</v>
      </c>
    </row>
    <row r="4755" spans="1:24" x14ac:dyDescent="0.35">
      <c r="A4755" t="s">
        <v>20</v>
      </c>
      <c r="B4755" t="s">
        <v>65</v>
      </c>
      <c r="X4755">
        <v>33.343178778458686</v>
      </c>
    </row>
    <row r="4756" spans="1:24" x14ac:dyDescent="0.35">
      <c r="A4756" t="s">
        <v>20</v>
      </c>
      <c r="B4756" t="s">
        <v>66</v>
      </c>
      <c r="X4756">
        <v>24.888829467795286</v>
      </c>
    </row>
    <row r="4757" spans="1:24" x14ac:dyDescent="0.35">
      <c r="A4757" t="s">
        <v>21</v>
      </c>
      <c r="B4757" t="s">
        <v>72</v>
      </c>
      <c r="X4757">
        <v>788.94658710421743</v>
      </c>
    </row>
    <row r="4758" spans="1:24" x14ac:dyDescent="0.35">
      <c r="A4758" t="s">
        <v>21</v>
      </c>
      <c r="B4758" t="s">
        <v>61</v>
      </c>
      <c r="X4758">
        <v>905.86658710421739</v>
      </c>
    </row>
    <row r="4759" spans="1:24" x14ac:dyDescent="0.35">
      <c r="A4759" t="s">
        <v>21</v>
      </c>
      <c r="B4759" t="s">
        <v>62</v>
      </c>
      <c r="X4759">
        <v>1721.3540942078107</v>
      </c>
    </row>
    <row r="4760" spans="1:24" x14ac:dyDescent="0.35">
      <c r="A4760" t="s">
        <v>21</v>
      </c>
      <c r="B4760" t="s">
        <v>63</v>
      </c>
      <c r="X4760">
        <v>2260.3471337773067</v>
      </c>
    </row>
    <row r="4761" spans="1:24" x14ac:dyDescent="0.35">
      <c r="A4761" t="s">
        <v>21</v>
      </c>
      <c r="B4761" t="s">
        <v>64</v>
      </c>
      <c r="X4761">
        <v>1925.8026254464951</v>
      </c>
    </row>
    <row r="4762" spans="1:24" x14ac:dyDescent="0.35">
      <c r="A4762" t="s">
        <v>21</v>
      </c>
      <c r="B4762" t="s">
        <v>65</v>
      </c>
      <c r="X4762">
        <v>2130.0470013962349</v>
      </c>
    </row>
    <row r="4763" spans="1:24" x14ac:dyDescent="0.35">
      <c r="A4763" t="s">
        <v>21</v>
      </c>
      <c r="B4763" t="s">
        <v>66</v>
      </c>
      <c r="X4763">
        <v>1501.7188096596235</v>
      </c>
    </row>
    <row r="4764" spans="1:24" x14ac:dyDescent="0.35">
      <c r="A4764" t="s">
        <v>22</v>
      </c>
      <c r="B4764" t="s">
        <v>72</v>
      </c>
      <c r="X4764">
        <v>2150.494885644946</v>
      </c>
    </row>
    <row r="4765" spans="1:24" x14ac:dyDescent="0.35">
      <c r="A4765" t="s">
        <v>22</v>
      </c>
      <c r="B4765" t="s">
        <v>61</v>
      </c>
      <c r="X4765">
        <v>4004.3615523116123</v>
      </c>
    </row>
    <row r="4766" spans="1:24" x14ac:dyDescent="0.35">
      <c r="A4766" t="s">
        <v>22</v>
      </c>
      <c r="B4766" t="s">
        <v>62</v>
      </c>
      <c r="X4766">
        <v>4965.7913577740173</v>
      </c>
    </row>
    <row r="4767" spans="1:24" x14ac:dyDescent="0.35">
      <c r="A4767" t="s">
        <v>22</v>
      </c>
      <c r="B4767" t="s">
        <v>63</v>
      </c>
      <c r="X4767">
        <v>5982.052619353949</v>
      </c>
    </row>
    <row r="4768" spans="1:24" x14ac:dyDescent="0.35">
      <c r="A4768" t="s">
        <v>22</v>
      </c>
      <c r="B4768" t="s">
        <v>64</v>
      </c>
      <c r="X4768">
        <v>5301.2171279005379</v>
      </c>
    </row>
    <row r="4769" spans="1:24" x14ac:dyDescent="0.35">
      <c r="A4769" t="s">
        <v>22</v>
      </c>
      <c r="B4769" t="s">
        <v>65</v>
      </c>
      <c r="X4769">
        <v>5651.6897751770903</v>
      </c>
    </row>
    <row r="4770" spans="1:24" x14ac:dyDescent="0.35">
      <c r="A4770" t="s">
        <v>22</v>
      </c>
      <c r="B4770" t="s">
        <v>66</v>
      </c>
      <c r="X4770">
        <v>4369.2083632251451</v>
      </c>
    </row>
    <row r="4771" spans="1:24" x14ac:dyDescent="0.35">
      <c r="A4771" t="s">
        <v>23</v>
      </c>
      <c r="B4771" t="s">
        <v>72</v>
      </c>
      <c r="X4771">
        <v>357.10713302746962</v>
      </c>
    </row>
    <row r="4772" spans="1:24" x14ac:dyDescent="0.35">
      <c r="A4772" t="s">
        <v>23</v>
      </c>
      <c r="B4772" t="s">
        <v>61</v>
      </c>
      <c r="X4772">
        <v>555.13379969413631</v>
      </c>
    </row>
    <row r="4773" spans="1:24" x14ac:dyDescent="0.35">
      <c r="A4773" t="s">
        <v>23</v>
      </c>
      <c r="B4773" t="s">
        <v>62</v>
      </c>
      <c r="X4773">
        <v>805.02580757830265</v>
      </c>
    </row>
    <row r="4774" spans="1:24" x14ac:dyDescent="0.35">
      <c r="A4774" t="s">
        <v>23</v>
      </c>
      <c r="B4774" t="s">
        <v>63</v>
      </c>
      <c r="X4774">
        <v>1006.1849073159301</v>
      </c>
    </row>
    <row r="4775" spans="1:24" x14ac:dyDescent="0.35">
      <c r="A4775" t="s">
        <v>23</v>
      </c>
      <c r="B4775" t="s">
        <v>64</v>
      </c>
      <c r="X4775">
        <v>876.5971203097838</v>
      </c>
    </row>
    <row r="4776" spans="1:24" x14ac:dyDescent="0.35">
      <c r="A4776" t="s">
        <v>23</v>
      </c>
      <c r="B4776" t="s">
        <v>65</v>
      </c>
      <c r="X4776">
        <v>949.5508553795363</v>
      </c>
    </row>
    <row r="4777" spans="1:24" x14ac:dyDescent="0.35">
      <c r="A4777" t="s">
        <v>23</v>
      </c>
      <c r="B4777" t="s">
        <v>66</v>
      </c>
      <c r="X4777">
        <v>705.80852287753817</v>
      </c>
    </row>
    <row r="4778" spans="1:24" x14ac:dyDescent="0.35">
      <c r="A4778" t="s">
        <v>24</v>
      </c>
      <c r="B4778" t="s">
        <v>72</v>
      </c>
      <c r="X4778">
        <v>815.64042218600025</v>
      </c>
    </row>
    <row r="4779" spans="1:24" x14ac:dyDescent="0.35">
      <c r="A4779" t="s">
        <v>24</v>
      </c>
      <c r="B4779" t="s">
        <v>61</v>
      </c>
      <c r="X4779">
        <v>1789.9737555193335</v>
      </c>
    </row>
    <row r="4780" spans="1:24" x14ac:dyDescent="0.35">
      <c r="A4780" t="s">
        <v>24</v>
      </c>
      <c r="B4780" t="s">
        <v>62</v>
      </c>
      <c r="X4780">
        <v>1931.7883819568642</v>
      </c>
    </row>
    <row r="4781" spans="1:24" x14ac:dyDescent="0.35">
      <c r="A4781" t="s">
        <v>24</v>
      </c>
      <c r="B4781" t="s">
        <v>63</v>
      </c>
      <c r="X4781">
        <v>2237.2256769814385</v>
      </c>
    </row>
    <row r="4782" spans="1:24" x14ac:dyDescent="0.35">
      <c r="A4782" t="s">
        <v>24</v>
      </c>
      <c r="B4782" t="s">
        <v>64</v>
      </c>
      <c r="X4782">
        <v>2019.816385393257</v>
      </c>
    </row>
    <row r="4783" spans="1:24" x14ac:dyDescent="0.35">
      <c r="A4783" t="s">
        <v>24</v>
      </c>
      <c r="B4783" t="s">
        <v>65</v>
      </c>
      <c r="X4783">
        <v>2116.3078151915101</v>
      </c>
    </row>
    <row r="4784" spans="1:24" x14ac:dyDescent="0.35">
      <c r="A4784" t="s">
        <v>24</v>
      </c>
      <c r="B4784" t="s">
        <v>66</v>
      </c>
      <c r="X4784">
        <v>1705.886189227564</v>
      </c>
    </row>
    <row r="4785" spans="1:24" x14ac:dyDescent="0.35">
      <c r="A4785" t="s">
        <v>25</v>
      </c>
      <c r="B4785" t="s">
        <v>72</v>
      </c>
      <c r="X4785">
        <v>271.51905414113389</v>
      </c>
    </row>
    <row r="4786" spans="1:24" x14ac:dyDescent="0.35">
      <c r="A4786" t="s">
        <v>25</v>
      </c>
      <c r="B4786" t="s">
        <v>61</v>
      </c>
      <c r="X4786">
        <v>519.0523874744672</v>
      </c>
    </row>
    <row r="4787" spans="1:24" x14ac:dyDescent="0.35">
      <c r="A4787" t="s">
        <v>25</v>
      </c>
      <c r="B4787" t="s">
        <v>62</v>
      </c>
      <c r="X4787">
        <v>629.37656738995065</v>
      </c>
    </row>
    <row r="4788" spans="1:24" x14ac:dyDescent="0.35">
      <c r="A4788" t="s">
        <v>25</v>
      </c>
      <c r="B4788" t="s">
        <v>63</v>
      </c>
      <c r="X4788">
        <v>753.715674595981</v>
      </c>
    </row>
    <row r="4789" spans="1:24" x14ac:dyDescent="0.35">
      <c r="A4789" t="s">
        <v>25</v>
      </c>
      <c r="B4789" t="s">
        <v>64</v>
      </c>
      <c r="X4789">
        <v>669.78096529961635</v>
      </c>
    </row>
    <row r="4790" spans="1:24" x14ac:dyDescent="0.35">
      <c r="A4790" t="s">
        <v>25</v>
      </c>
      <c r="B4790" t="s">
        <v>65</v>
      </c>
      <c r="X4790">
        <v>712.22203479178779</v>
      </c>
    </row>
    <row r="4791" spans="1:24" x14ac:dyDescent="0.35">
      <c r="A4791" t="s">
        <v>25</v>
      </c>
      <c r="B4791" t="s">
        <v>66</v>
      </c>
      <c r="X4791">
        <v>554.0710451221471</v>
      </c>
    </row>
    <row r="4792" spans="1:24" x14ac:dyDescent="0.35">
      <c r="A4792" t="s">
        <v>26</v>
      </c>
      <c r="B4792" t="s">
        <v>72</v>
      </c>
      <c r="X4792">
        <v>118.41675655745881</v>
      </c>
    </row>
    <row r="4793" spans="1:24" x14ac:dyDescent="0.35">
      <c r="A4793" t="s">
        <v>26</v>
      </c>
      <c r="B4793" t="s">
        <v>61</v>
      </c>
      <c r="X4793">
        <v>176.35008989079213</v>
      </c>
    </row>
    <row r="4794" spans="1:24" x14ac:dyDescent="0.35">
      <c r="A4794" t="s">
        <v>26</v>
      </c>
      <c r="B4794" t="s">
        <v>62</v>
      </c>
      <c r="X4794">
        <v>265.56776231819526</v>
      </c>
    </row>
    <row r="4795" spans="1:24" x14ac:dyDescent="0.35">
      <c r="A4795" t="s">
        <v>26</v>
      </c>
      <c r="B4795" t="s">
        <v>63</v>
      </c>
      <c r="X4795">
        <v>334.55337789377279</v>
      </c>
    </row>
    <row r="4796" spans="1:24" x14ac:dyDescent="0.35">
      <c r="A4796" t="s">
        <v>26</v>
      </c>
      <c r="B4796" t="s">
        <v>64</v>
      </c>
      <c r="X4796">
        <v>290.41825857044148</v>
      </c>
    </row>
    <row r="4797" spans="1:24" x14ac:dyDescent="0.35">
      <c r="A4797" t="s">
        <v>26</v>
      </c>
      <c r="B4797" t="s">
        <v>65</v>
      </c>
      <c r="X4797">
        <v>315.64857528957663</v>
      </c>
    </row>
    <row r="4798" spans="1:24" x14ac:dyDescent="0.35">
      <c r="A4798" t="s">
        <v>26</v>
      </c>
      <c r="B4798" t="s">
        <v>66</v>
      </c>
      <c r="X4798">
        <v>232.65675252977104</v>
      </c>
    </row>
    <row r="4799" spans="1:24" x14ac:dyDescent="0.35">
      <c r="A4799" t="s">
        <v>27</v>
      </c>
      <c r="B4799" t="s">
        <v>72</v>
      </c>
      <c r="X4799">
        <v>1896.0167290857139</v>
      </c>
    </row>
    <row r="4800" spans="1:24" x14ac:dyDescent="0.35">
      <c r="A4800" t="s">
        <v>27</v>
      </c>
      <c r="B4800" t="s">
        <v>61</v>
      </c>
      <c r="X4800">
        <v>3004.1233957523805</v>
      </c>
    </row>
    <row r="4801" spans="1:24" x14ac:dyDescent="0.35">
      <c r="A4801" t="s">
        <v>27</v>
      </c>
      <c r="B4801" t="s">
        <v>62</v>
      </c>
      <c r="X4801">
        <v>4284.2987424095581</v>
      </c>
    </row>
    <row r="4802" spans="1:24" x14ac:dyDescent="0.35">
      <c r="A4802" t="s">
        <v>27</v>
      </c>
      <c r="B4802" t="s">
        <v>63</v>
      </c>
      <c r="X4802">
        <v>5335.5979939767576</v>
      </c>
    </row>
    <row r="4803" spans="1:24" x14ac:dyDescent="0.35">
      <c r="A4803" t="s">
        <v>27</v>
      </c>
      <c r="B4803" t="s">
        <v>64</v>
      </c>
      <c r="X4803">
        <v>4656.1026566397868</v>
      </c>
    </row>
    <row r="4804" spans="1:24" x14ac:dyDescent="0.35">
      <c r="A4804" t="s">
        <v>27</v>
      </c>
      <c r="B4804" t="s">
        <v>65</v>
      </c>
      <c r="X4804">
        <v>5035.8227527873769</v>
      </c>
    </row>
    <row r="4805" spans="1:24" x14ac:dyDescent="0.35">
      <c r="A4805" t="s">
        <v>27</v>
      </c>
      <c r="B4805" t="s">
        <v>66</v>
      </c>
      <c r="X4805">
        <v>3757.5940503824645</v>
      </c>
    </row>
    <row r="4806" spans="1:24" x14ac:dyDescent="0.35">
      <c r="A4806" t="s">
        <v>28</v>
      </c>
      <c r="B4806" t="s">
        <v>72</v>
      </c>
      <c r="X4806">
        <v>267.10809853881295</v>
      </c>
    </row>
    <row r="4807" spans="1:24" x14ac:dyDescent="0.35">
      <c r="A4807" t="s">
        <v>28</v>
      </c>
      <c r="B4807" t="s">
        <v>61</v>
      </c>
      <c r="X4807">
        <v>332.41476520547963</v>
      </c>
    </row>
    <row r="4808" spans="1:24" x14ac:dyDescent="0.35">
      <c r="A4808" t="s">
        <v>28</v>
      </c>
      <c r="B4808" t="s">
        <v>62</v>
      </c>
      <c r="X4808">
        <v>587.37360292817607</v>
      </c>
    </row>
    <row r="4809" spans="1:24" x14ac:dyDescent="0.35">
      <c r="A4809" t="s">
        <v>28</v>
      </c>
      <c r="B4809" t="s">
        <v>63</v>
      </c>
      <c r="X4809">
        <v>762.26805145549122</v>
      </c>
    </row>
    <row r="4810" spans="1:24" x14ac:dyDescent="0.35">
      <c r="A4810" t="s">
        <v>28</v>
      </c>
      <c r="B4810" t="s">
        <v>64</v>
      </c>
      <c r="X4810">
        <v>652.87508815379601</v>
      </c>
    </row>
    <row r="4811" spans="1:24" x14ac:dyDescent="0.35">
      <c r="A4811" t="s">
        <v>28</v>
      </c>
      <c r="B4811" t="s">
        <v>65</v>
      </c>
      <c r="X4811">
        <v>718.56888963905044</v>
      </c>
    </row>
    <row r="4812" spans="1:24" x14ac:dyDescent="0.35">
      <c r="A4812" t="s">
        <v>28</v>
      </c>
      <c r="B4812" t="s">
        <v>66</v>
      </c>
      <c r="X4812">
        <v>513.04832232078797</v>
      </c>
    </row>
    <row r="4813" spans="1:24" x14ac:dyDescent="0.35">
      <c r="A4813" t="s">
        <v>29</v>
      </c>
      <c r="B4813" t="s">
        <v>72</v>
      </c>
      <c r="X4813">
        <v>21843.234494547825</v>
      </c>
    </row>
    <row r="4814" spans="1:24" x14ac:dyDescent="0.35">
      <c r="A4814" t="s">
        <v>29</v>
      </c>
      <c r="B4814" t="s">
        <v>61</v>
      </c>
      <c r="X4814">
        <v>32412.381161214493</v>
      </c>
    </row>
    <row r="4815" spans="1:24" x14ac:dyDescent="0.35">
      <c r="A4815" t="s">
        <v>29</v>
      </c>
      <c r="B4815" t="s">
        <v>62</v>
      </c>
      <c r="X4815">
        <v>48965.894873855577</v>
      </c>
    </row>
    <row r="4816" spans="1:24" x14ac:dyDescent="0.35">
      <c r="A4816" t="s">
        <v>29</v>
      </c>
      <c r="B4816" t="s">
        <v>63</v>
      </c>
      <c r="X4816">
        <v>61725.627084913998</v>
      </c>
    </row>
    <row r="4817" spans="1:25" x14ac:dyDescent="0.35">
      <c r="A4817" t="s">
        <v>29</v>
      </c>
      <c r="B4817" t="s">
        <v>64</v>
      </c>
      <c r="X4817">
        <v>53566.782183287345</v>
      </c>
    </row>
    <row r="4818" spans="1:25" x14ac:dyDescent="0.35">
      <c r="A4818" t="s">
        <v>29</v>
      </c>
      <c r="B4818" t="s">
        <v>65</v>
      </c>
      <c r="X4818">
        <v>58236.53945595205</v>
      </c>
    </row>
    <row r="4819" spans="1:25" x14ac:dyDescent="0.35">
      <c r="A4819" t="s">
        <v>29</v>
      </c>
      <c r="B4819" t="s">
        <v>66</v>
      </c>
      <c r="X4819">
        <v>42894.947888452938</v>
      </c>
    </row>
    <row r="4820" spans="1:25" x14ac:dyDescent="0.35">
      <c r="A4820" t="s">
        <v>2</v>
      </c>
      <c r="B4820" t="s">
        <v>72</v>
      </c>
      <c r="Y4820">
        <v>0</v>
      </c>
    </row>
    <row r="4821" spans="1:25" x14ac:dyDescent="0.35">
      <c r="A4821" t="s">
        <v>2</v>
      </c>
      <c r="B4821" t="s">
        <v>61</v>
      </c>
      <c r="Y4821">
        <v>0</v>
      </c>
    </row>
    <row r="4822" spans="1:25" x14ac:dyDescent="0.35">
      <c r="A4822" t="s">
        <v>2</v>
      </c>
      <c r="B4822" t="s">
        <v>62</v>
      </c>
      <c r="Y4822">
        <v>70</v>
      </c>
    </row>
    <row r="4823" spans="1:25" x14ac:dyDescent="0.35">
      <c r="A4823" t="s">
        <v>2</v>
      </c>
      <c r="B4823" t="s">
        <v>63</v>
      </c>
      <c r="Y4823">
        <v>75.752727272727256</v>
      </c>
    </row>
    <row r="4824" spans="1:25" x14ac:dyDescent="0.35">
      <c r="A4824" t="s">
        <v>2</v>
      </c>
      <c r="B4824" t="s">
        <v>64</v>
      </c>
      <c r="Y4824">
        <v>93.672727272727272</v>
      </c>
    </row>
    <row r="4825" spans="1:25" x14ac:dyDescent="0.35">
      <c r="A4825" t="s">
        <v>2</v>
      </c>
      <c r="B4825" t="s">
        <v>65</v>
      </c>
      <c r="Y4825">
        <v>105.28</v>
      </c>
    </row>
    <row r="4826" spans="1:25" x14ac:dyDescent="0.35">
      <c r="A4826" t="s">
        <v>2</v>
      </c>
      <c r="B4826" t="s">
        <v>66</v>
      </c>
      <c r="Y4826">
        <v>84.458181818181799</v>
      </c>
    </row>
    <row r="4827" spans="1:25" x14ac:dyDescent="0.35">
      <c r="A4827" t="s">
        <v>2</v>
      </c>
      <c r="B4827" t="s">
        <v>47</v>
      </c>
      <c r="Y4827">
        <v>429.16363636363639</v>
      </c>
    </row>
    <row r="4828" spans="1:25" x14ac:dyDescent="0.35">
      <c r="A4828" t="s">
        <v>3</v>
      </c>
      <c r="B4828" t="s">
        <v>72</v>
      </c>
      <c r="Y4828">
        <v>0</v>
      </c>
    </row>
    <row r="4829" spans="1:25" x14ac:dyDescent="0.35">
      <c r="A4829" t="s">
        <v>3</v>
      </c>
      <c r="B4829" t="s">
        <v>61</v>
      </c>
      <c r="Y4829">
        <v>0</v>
      </c>
    </row>
    <row r="4830" spans="1:25" x14ac:dyDescent="0.35">
      <c r="A4830" t="s">
        <v>3</v>
      </c>
      <c r="B4830" t="s">
        <v>62</v>
      </c>
      <c r="Y4830">
        <v>70</v>
      </c>
    </row>
    <row r="4831" spans="1:25" x14ac:dyDescent="0.35">
      <c r="A4831" t="s">
        <v>3</v>
      </c>
      <c r="B4831" t="s">
        <v>63</v>
      </c>
      <c r="Y4831">
        <v>75.75272727272727</v>
      </c>
    </row>
    <row r="4832" spans="1:25" x14ac:dyDescent="0.35">
      <c r="A4832" t="s">
        <v>3</v>
      </c>
      <c r="B4832" t="s">
        <v>64</v>
      </c>
      <c r="Y4832">
        <v>93.672727272727286</v>
      </c>
    </row>
    <row r="4833" spans="1:25" x14ac:dyDescent="0.35">
      <c r="A4833" t="s">
        <v>3</v>
      </c>
      <c r="B4833" t="s">
        <v>65</v>
      </c>
      <c r="Y4833">
        <v>105.28</v>
      </c>
    </row>
    <row r="4834" spans="1:25" x14ac:dyDescent="0.35">
      <c r="A4834" t="s">
        <v>3</v>
      </c>
      <c r="B4834" t="s">
        <v>66</v>
      </c>
      <c r="Y4834">
        <v>84.458181818181814</v>
      </c>
    </row>
    <row r="4835" spans="1:25" x14ac:dyDescent="0.35">
      <c r="A4835" t="s">
        <v>3</v>
      </c>
      <c r="B4835" t="s">
        <v>47</v>
      </c>
      <c r="Y4835">
        <v>429.16363636363639</v>
      </c>
    </row>
    <row r="4836" spans="1:25" x14ac:dyDescent="0.35">
      <c r="A4836" t="s">
        <v>4</v>
      </c>
      <c r="B4836" t="s">
        <v>72</v>
      </c>
      <c r="Y4836">
        <v>0</v>
      </c>
    </row>
    <row r="4837" spans="1:25" x14ac:dyDescent="0.35">
      <c r="A4837" t="s">
        <v>4</v>
      </c>
      <c r="B4837" t="s">
        <v>61</v>
      </c>
      <c r="Y4837">
        <v>0</v>
      </c>
    </row>
    <row r="4838" spans="1:25" x14ac:dyDescent="0.35">
      <c r="A4838" t="s">
        <v>4</v>
      </c>
      <c r="B4838" t="s">
        <v>62</v>
      </c>
      <c r="Y4838">
        <v>70</v>
      </c>
    </row>
    <row r="4839" spans="1:25" x14ac:dyDescent="0.35">
      <c r="A4839" t="s">
        <v>4</v>
      </c>
      <c r="B4839" t="s">
        <v>63</v>
      </c>
      <c r="Y4839">
        <v>75.75272727272727</v>
      </c>
    </row>
    <row r="4840" spans="1:25" x14ac:dyDescent="0.35">
      <c r="A4840" t="s">
        <v>4</v>
      </c>
      <c r="B4840" t="s">
        <v>64</v>
      </c>
      <c r="Y4840">
        <v>93.672727272727286</v>
      </c>
    </row>
    <row r="4841" spans="1:25" x14ac:dyDescent="0.35">
      <c r="A4841" t="s">
        <v>4</v>
      </c>
      <c r="B4841" t="s">
        <v>65</v>
      </c>
      <c r="Y4841">
        <v>105.28</v>
      </c>
    </row>
    <row r="4842" spans="1:25" x14ac:dyDescent="0.35">
      <c r="A4842" t="s">
        <v>4</v>
      </c>
      <c r="B4842" t="s">
        <v>66</v>
      </c>
      <c r="Y4842">
        <v>84.458181818181814</v>
      </c>
    </row>
    <row r="4843" spans="1:25" x14ac:dyDescent="0.35">
      <c r="A4843" t="s">
        <v>4</v>
      </c>
      <c r="B4843" t="s">
        <v>47</v>
      </c>
      <c r="Y4843">
        <v>429.16363636363639</v>
      </c>
    </row>
    <row r="4844" spans="1:25" x14ac:dyDescent="0.35">
      <c r="A4844" t="s">
        <v>5</v>
      </c>
      <c r="B4844" t="s">
        <v>72</v>
      </c>
      <c r="Y4844">
        <v>0</v>
      </c>
    </row>
    <row r="4845" spans="1:25" x14ac:dyDescent="0.35">
      <c r="A4845" t="s">
        <v>5</v>
      </c>
      <c r="B4845" t="s">
        <v>61</v>
      </c>
      <c r="Y4845">
        <v>0</v>
      </c>
    </row>
    <row r="4846" spans="1:25" x14ac:dyDescent="0.35">
      <c r="A4846" t="s">
        <v>5</v>
      </c>
      <c r="B4846" t="s">
        <v>62</v>
      </c>
      <c r="Y4846">
        <v>70</v>
      </c>
    </row>
    <row r="4847" spans="1:25" x14ac:dyDescent="0.35">
      <c r="A4847" t="s">
        <v>5</v>
      </c>
      <c r="B4847" t="s">
        <v>63</v>
      </c>
      <c r="Y4847">
        <v>75.75272727272727</v>
      </c>
    </row>
    <row r="4848" spans="1:25" x14ac:dyDescent="0.35">
      <c r="A4848" t="s">
        <v>5</v>
      </c>
      <c r="B4848" t="s">
        <v>64</v>
      </c>
      <c r="Y4848">
        <v>93.672727272727286</v>
      </c>
    </row>
    <row r="4849" spans="1:25" x14ac:dyDescent="0.35">
      <c r="A4849" t="s">
        <v>5</v>
      </c>
      <c r="B4849" t="s">
        <v>65</v>
      </c>
      <c r="Y4849">
        <v>105.28000000000002</v>
      </c>
    </row>
    <row r="4850" spans="1:25" x14ac:dyDescent="0.35">
      <c r="A4850" t="s">
        <v>5</v>
      </c>
      <c r="B4850" t="s">
        <v>66</v>
      </c>
      <c r="Y4850">
        <v>84.458181818181814</v>
      </c>
    </row>
    <row r="4851" spans="1:25" x14ac:dyDescent="0.35">
      <c r="A4851" t="s">
        <v>5</v>
      </c>
      <c r="B4851" t="s">
        <v>47</v>
      </c>
      <c r="Y4851">
        <v>429.16363636363639</v>
      </c>
    </row>
    <row r="4852" spans="1:25" x14ac:dyDescent="0.35">
      <c r="A4852" t="s">
        <v>6</v>
      </c>
      <c r="B4852" t="s">
        <v>72</v>
      </c>
      <c r="Y4852">
        <v>0</v>
      </c>
    </row>
    <row r="4853" spans="1:25" x14ac:dyDescent="0.35">
      <c r="A4853" t="s">
        <v>6</v>
      </c>
      <c r="B4853" t="s">
        <v>61</v>
      </c>
      <c r="Y4853">
        <v>0</v>
      </c>
    </row>
    <row r="4854" spans="1:25" x14ac:dyDescent="0.35">
      <c r="A4854" t="s">
        <v>6</v>
      </c>
      <c r="B4854" t="s">
        <v>62</v>
      </c>
      <c r="Y4854">
        <v>70</v>
      </c>
    </row>
    <row r="4855" spans="1:25" x14ac:dyDescent="0.35">
      <c r="A4855" t="s">
        <v>6</v>
      </c>
      <c r="B4855" t="s">
        <v>63</v>
      </c>
      <c r="Y4855">
        <v>75.75272727272727</v>
      </c>
    </row>
    <row r="4856" spans="1:25" x14ac:dyDescent="0.35">
      <c r="A4856" t="s">
        <v>6</v>
      </c>
      <c r="B4856" t="s">
        <v>64</v>
      </c>
      <c r="Y4856">
        <v>93.672727272727286</v>
      </c>
    </row>
    <row r="4857" spans="1:25" x14ac:dyDescent="0.35">
      <c r="A4857" t="s">
        <v>6</v>
      </c>
      <c r="B4857" t="s">
        <v>65</v>
      </c>
      <c r="Y4857">
        <v>105.28</v>
      </c>
    </row>
    <row r="4858" spans="1:25" x14ac:dyDescent="0.35">
      <c r="A4858" t="s">
        <v>6</v>
      </c>
      <c r="B4858" t="s">
        <v>66</v>
      </c>
      <c r="Y4858">
        <v>84.458181818181814</v>
      </c>
    </row>
    <row r="4859" spans="1:25" x14ac:dyDescent="0.35">
      <c r="A4859" t="s">
        <v>6</v>
      </c>
      <c r="B4859" t="s">
        <v>47</v>
      </c>
      <c r="Y4859">
        <v>429.16363636363639</v>
      </c>
    </row>
    <row r="4860" spans="1:25" x14ac:dyDescent="0.35">
      <c r="A4860" t="s">
        <v>7</v>
      </c>
      <c r="B4860" t="s">
        <v>72</v>
      </c>
      <c r="Y4860">
        <v>0</v>
      </c>
    </row>
    <row r="4861" spans="1:25" x14ac:dyDescent="0.35">
      <c r="A4861" t="s">
        <v>7</v>
      </c>
      <c r="B4861" t="s">
        <v>61</v>
      </c>
      <c r="Y4861">
        <v>0</v>
      </c>
    </row>
    <row r="4862" spans="1:25" x14ac:dyDescent="0.35">
      <c r="A4862" t="s">
        <v>7</v>
      </c>
      <c r="B4862" t="s">
        <v>62</v>
      </c>
      <c r="Y4862">
        <v>70</v>
      </c>
    </row>
    <row r="4863" spans="1:25" x14ac:dyDescent="0.35">
      <c r="A4863" t="s">
        <v>7</v>
      </c>
      <c r="B4863" t="s">
        <v>63</v>
      </c>
      <c r="Y4863">
        <v>75.752727272727256</v>
      </c>
    </row>
    <row r="4864" spans="1:25" x14ac:dyDescent="0.35">
      <c r="A4864" t="s">
        <v>7</v>
      </c>
      <c r="B4864" t="s">
        <v>64</v>
      </c>
      <c r="Y4864">
        <v>93.672727272727286</v>
      </c>
    </row>
    <row r="4865" spans="1:25" x14ac:dyDescent="0.35">
      <c r="A4865" t="s">
        <v>7</v>
      </c>
      <c r="B4865" t="s">
        <v>65</v>
      </c>
      <c r="Y4865">
        <v>105.27999999999999</v>
      </c>
    </row>
    <row r="4866" spans="1:25" x14ac:dyDescent="0.35">
      <c r="A4866" t="s">
        <v>7</v>
      </c>
      <c r="B4866" t="s">
        <v>66</v>
      </c>
      <c r="Y4866">
        <v>84.458181818181814</v>
      </c>
    </row>
    <row r="4867" spans="1:25" x14ac:dyDescent="0.35">
      <c r="A4867" t="s">
        <v>7</v>
      </c>
      <c r="B4867" t="s">
        <v>47</v>
      </c>
      <c r="Y4867">
        <v>429.16363636363633</v>
      </c>
    </row>
    <row r="4868" spans="1:25" x14ac:dyDescent="0.35">
      <c r="A4868" t="s">
        <v>8</v>
      </c>
      <c r="B4868" t="s">
        <v>72</v>
      </c>
      <c r="Y4868">
        <v>0</v>
      </c>
    </row>
    <row r="4869" spans="1:25" x14ac:dyDescent="0.35">
      <c r="A4869" t="s">
        <v>8</v>
      </c>
      <c r="B4869" t="s">
        <v>61</v>
      </c>
      <c r="Y4869">
        <v>0</v>
      </c>
    </row>
    <row r="4870" spans="1:25" x14ac:dyDescent="0.35">
      <c r="A4870" t="s">
        <v>8</v>
      </c>
      <c r="B4870" t="s">
        <v>62</v>
      </c>
      <c r="Y4870">
        <v>70</v>
      </c>
    </row>
    <row r="4871" spans="1:25" x14ac:dyDescent="0.35">
      <c r="A4871" t="s">
        <v>8</v>
      </c>
      <c r="B4871" t="s">
        <v>63</v>
      </c>
      <c r="Y4871">
        <v>75.75272727272727</v>
      </c>
    </row>
    <row r="4872" spans="1:25" x14ac:dyDescent="0.35">
      <c r="A4872" t="s">
        <v>8</v>
      </c>
      <c r="B4872" t="s">
        <v>64</v>
      </c>
      <c r="Y4872">
        <v>93.672727272727286</v>
      </c>
    </row>
    <row r="4873" spans="1:25" x14ac:dyDescent="0.35">
      <c r="A4873" t="s">
        <v>8</v>
      </c>
      <c r="B4873" t="s">
        <v>65</v>
      </c>
      <c r="Y4873">
        <v>105.27999999999999</v>
      </c>
    </row>
    <row r="4874" spans="1:25" x14ac:dyDescent="0.35">
      <c r="A4874" t="s">
        <v>8</v>
      </c>
      <c r="B4874" t="s">
        <v>66</v>
      </c>
      <c r="Y4874">
        <v>84.458181818181799</v>
      </c>
    </row>
    <row r="4875" spans="1:25" x14ac:dyDescent="0.35">
      <c r="A4875" t="s">
        <v>8</v>
      </c>
      <c r="B4875" t="s">
        <v>47</v>
      </c>
      <c r="Y4875">
        <v>429.16363636363633</v>
      </c>
    </row>
    <row r="4876" spans="1:25" x14ac:dyDescent="0.35">
      <c r="A4876" t="s">
        <v>9</v>
      </c>
      <c r="B4876" t="s">
        <v>72</v>
      </c>
      <c r="Y4876">
        <v>0</v>
      </c>
    </row>
    <row r="4877" spans="1:25" x14ac:dyDescent="0.35">
      <c r="A4877" t="s">
        <v>9</v>
      </c>
      <c r="B4877" t="s">
        <v>61</v>
      </c>
      <c r="Y4877">
        <v>0</v>
      </c>
    </row>
    <row r="4878" spans="1:25" x14ac:dyDescent="0.35">
      <c r="A4878" t="s">
        <v>9</v>
      </c>
      <c r="B4878" t="s">
        <v>62</v>
      </c>
      <c r="Y4878">
        <v>70</v>
      </c>
    </row>
    <row r="4879" spans="1:25" x14ac:dyDescent="0.35">
      <c r="A4879" t="s">
        <v>9</v>
      </c>
      <c r="B4879" t="s">
        <v>63</v>
      </c>
      <c r="Y4879">
        <v>75.752727272727256</v>
      </c>
    </row>
    <row r="4880" spans="1:25" x14ac:dyDescent="0.35">
      <c r="A4880" t="s">
        <v>9</v>
      </c>
      <c r="B4880" t="s">
        <v>64</v>
      </c>
      <c r="Y4880">
        <v>93.672727272727286</v>
      </c>
    </row>
    <row r="4881" spans="1:25" x14ac:dyDescent="0.35">
      <c r="A4881" t="s">
        <v>9</v>
      </c>
      <c r="B4881" t="s">
        <v>65</v>
      </c>
      <c r="Y4881">
        <v>105.27999999999999</v>
      </c>
    </row>
    <row r="4882" spans="1:25" x14ac:dyDescent="0.35">
      <c r="A4882" t="s">
        <v>9</v>
      </c>
      <c r="B4882" t="s">
        <v>66</v>
      </c>
      <c r="Y4882">
        <v>84.458181818181799</v>
      </c>
    </row>
    <row r="4883" spans="1:25" x14ac:dyDescent="0.35">
      <c r="A4883" t="s">
        <v>9</v>
      </c>
      <c r="B4883" t="s">
        <v>47</v>
      </c>
      <c r="Y4883">
        <v>429.16363636363633</v>
      </c>
    </row>
    <row r="4884" spans="1:25" x14ac:dyDescent="0.35">
      <c r="A4884" t="s">
        <v>10</v>
      </c>
      <c r="B4884" t="s">
        <v>72</v>
      </c>
      <c r="Y4884">
        <v>0</v>
      </c>
    </row>
    <row r="4885" spans="1:25" x14ac:dyDescent="0.35">
      <c r="A4885" t="s">
        <v>10</v>
      </c>
      <c r="B4885" t="s">
        <v>61</v>
      </c>
      <c r="Y4885">
        <v>0</v>
      </c>
    </row>
    <row r="4886" spans="1:25" x14ac:dyDescent="0.35">
      <c r="A4886" t="s">
        <v>10</v>
      </c>
      <c r="B4886" t="s">
        <v>62</v>
      </c>
      <c r="Y4886">
        <v>70</v>
      </c>
    </row>
    <row r="4887" spans="1:25" x14ac:dyDescent="0.35">
      <c r="A4887" t="s">
        <v>10</v>
      </c>
      <c r="B4887" t="s">
        <v>63</v>
      </c>
      <c r="Y4887">
        <v>75.75272727272727</v>
      </c>
    </row>
    <row r="4888" spans="1:25" x14ac:dyDescent="0.35">
      <c r="A4888" t="s">
        <v>10</v>
      </c>
      <c r="B4888" t="s">
        <v>64</v>
      </c>
      <c r="Y4888">
        <v>93.6727272727273</v>
      </c>
    </row>
    <row r="4889" spans="1:25" x14ac:dyDescent="0.35">
      <c r="A4889" t="s">
        <v>10</v>
      </c>
      <c r="B4889" t="s">
        <v>65</v>
      </c>
      <c r="Y4889">
        <v>105.28000000000002</v>
      </c>
    </row>
    <row r="4890" spans="1:25" x14ac:dyDescent="0.35">
      <c r="A4890" t="s">
        <v>10</v>
      </c>
      <c r="B4890" t="s">
        <v>66</v>
      </c>
      <c r="Y4890">
        <v>84.458181818181814</v>
      </c>
    </row>
    <row r="4891" spans="1:25" x14ac:dyDescent="0.35">
      <c r="A4891" t="s">
        <v>10</v>
      </c>
      <c r="B4891" t="s">
        <v>47</v>
      </c>
      <c r="Y4891">
        <v>429.16363636363639</v>
      </c>
    </row>
    <row r="4892" spans="1:25" x14ac:dyDescent="0.35">
      <c r="A4892" t="s">
        <v>11</v>
      </c>
      <c r="B4892" t="s">
        <v>72</v>
      </c>
      <c r="Y4892">
        <v>0</v>
      </c>
    </row>
    <row r="4893" spans="1:25" x14ac:dyDescent="0.35">
      <c r="A4893" t="s">
        <v>11</v>
      </c>
      <c r="B4893" t="s">
        <v>61</v>
      </c>
      <c r="Y4893">
        <v>0</v>
      </c>
    </row>
    <row r="4894" spans="1:25" x14ac:dyDescent="0.35">
      <c r="A4894" t="s">
        <v>11</v>
      </c>
      <c r="B4894" t="s">
        <v>62</v>
      </c>
      <c r="Y4894">
        <v>70</v>
      </c>
    </row>
    <row r="4895" spans="1:25" x14ac:dyDescent="0.35">
      <c r="A4895" t="s">
        <v>11</v>
      </c>
      <c r="B4895" t="s">
        <v>63</v>
      </c>
      <c r="Y4895">
        <v>75.75272727272727</v>
      </c>
    </row>
    <row r="4896" spans="1:25" x14ac:dyDescent="0.35">
      <c r="A4896" t="s">
        <v>11</v>
      </c>
      <c r="B4896" t="s">
        <v>64</v>
      </c>
      <c r="Y4896">
        <v>93.672727272727286</v>
      </c>
    </row>
    <row r="4897" spans="1:25" x14ac:dyDescent="0.35">
      <c r="A4897" t="s">
        <v>11</v>
      </c>
      <c r="B4897" t="s">
        <v>65</v>
      </c>
      <c r="Y4897">
        <v>105.27999999999999</v>
      </c>
    </row>
    <row r="4898" spans="1:25" x14ac:dyDescent="0.35">
      <c r="A4898" t="s">
        <v>11</v>
      </c>
      <c r="B4898" t="s">
        <v>66</v>
      </c>
      <c r="Y4898">
        <v>84.458181818181799</v>
      </c>
    </row>
    <row r="4899" spans="1:25" x14ac:dyDescent="0.35">
      <c r="A4899" t="s">
        <v>11</v>
      </c>
      <c r="B4899" t="s">
        <v>47</v>
      </c>
      <c r="Y4899">
        <v>429.16363636363633</v>
      </c>
    </row>
    <row r="4900" spans="1:25" x14ac:dyDescent="0.35">
      <c r="A4900" t="s">
        <v>12</v>
      </c>
      <c r="B4900" t="s">
        <v>72</v>
      </c>
      <c r="Y4900">
        <v>0</v>
      </c>
    </row>
    <row r="4901" spans="1:25" x14ac:dyDescent="0.35">
      <c r="A4901" t="s">
        <v>12</v>
      </c>
      <c r="B4901" t="s">
        <v>61</v>
      </c>
      <c r="Y4901">
        <v>0</v>
      </c>
    </row>
    <row r="4902" spans="1:25" x14ac:dyDescent="0.35">
      <c r="A4902" t="s">
        <v>12</v>
      </c>
      <c r="B4902" t="s">
        <v>62</v>
      </c>
      <c r="Y4902">
        <v>70</v>
      </c>
    </row>
    <row r="4903" spans="1:25" x14ac:dyDescent="0.35">
      <c r="A4903" t="s">
        <v>12</v>
      </c>
      <c r="B4903" t="s">
        <v>63</v>
      </c>
      <c r="Y4903">
        <v>75.75272727272727</v>
      </c>
    </row>
    <row r="4904" spans="1:25" x14ac:dyDescent="0.35">
      <c r="A4904" t="s">
        <v>12</v>
      </c>
      <c r="B4904" t="s">
        <v>64</v>
      </c>
      <c r="Y4904">
        <v>93.672727272727272</v>
      </c>
    </row>
    <row r="4905" spans="1:25" x14ac:dyDescent="0.35">
      <c r="A4905" t="s">
        <v>12</v>
      </c>
      <c r="B4905" t="s">
        <v>65</v>
      </c>
      <c r="Y4905">
        <v>105.28</v>
      </c>
    </row>
    <row r="4906" spans="1:25" x14ac:dyDescent="0.35">
      <c r="A4906" t="s">
        <v>12</v>
      </c>
      <c r="B4906" t="s">
        <v>66</v>
      </c>
      <c r="Y4906">
        <v>84.458181818181814</v>
      </c>
    </row>
    <row r="4907" spans="1:25" x14ac:dyDescent="0.35">
      <c r="A4907" t="s">
        <v>12</v>
      </c>
      <c r="B4907" t="s">
        <v>47</v>
      </c>
      <c r="Y4907">
        <v>429.16363636363639</v>
      </c>
    </row>
    <row r="4908" spans="1:25" x14ac:dyDescent="0.35">
      <c r="A4908" t="s">
        <v>13</v>
      </c>
      <c r="B4908" t="s">
        <v>72</v>
      </c>
      <c r="Y4908">
        <v>0</v>
      </c>
    </row>
    <row r="4909" spans="1:25" x14ac:dyDescent="0.35">
      <c r="A4909" t="s">
        <v>13</v>
      </c>
      <c r="B4909" t="s">
        <v>61</v>
      </c>
      <c r="Y4909">
        <v>0</v>
      </c>
    </row>
    <row r="4910" spans="1:25" x14ac:dyDescent="0.35">
      <c r="A4910" t="s">
        <v>13</v>
      </c>
      <c r="B4910" t="s">
        <v>62</v>
      </c>
      <c r="Y4910">
        <v>70</v>
      </c>
    </row>
    <row r="4911" spans="1:25" x14ac:dyDescent="0.35">
      <c r="A4911" t="s">
        <v>13</v>
      </c>
      <c r="B4911" t="s">
        <v>63</v>
      </c>
      <c r="Y4911">
        <v>75.75272727272727</v>
      </c>
    </row>
    <row r="4912" spans="1:25" x14ac:dyDescent="0.35">
      <c r="A4912" t="s">
        <v>13</v>
      </c>
      <c r="B4912" t="s">
        <v>64</v>
      </c>
      <c r="Y4912">
        <v>93.672727272727272</v>
      </c>
    </row>
    <row r="4913" spans="1:25" x14ac:dyDescent="0.35">
      <c r="A4913" t="s">
        <v>13</v>
      </c>
      <c r="B4913" t="s">
        <v>65</v>
      </c>
      <c r="Y4913">
        <v>105.27999999999999</v>
      </c>
    </row>
    <row r="4914" spans="1:25" x14ac:dyDescent="0.35">
      <c r="A4914" t="s">
        <v>13</v>
      </c>
      <c r="B4914" t="s">
        <v>66</v>
      </c>
      <c r="Y4914">
        <v>84.458181818181799</v>
      </c>
    </row>
    <row r="4915" spans="1:25" x14ac:dyDescent="0.35">
      <c r="A4915" t="s">
        <v>13</v>
      </c>
      <c r="B4915" t="s">
        <v>47</v>
      </c>
      <c r="Y4915">
        <v>429.16363636363633</v>
      </c>
    </row>
    <row r="4916" spans="1:25" x14ac:dyDescent="0.35">
      <c r="A4916" t="s">
        <v>14</v>
      </c>
      <c r="B4916" t="s">
        <v>72</v>
      </c>
      <c r="Y4916">
        <v>0</v>
      </c>
    </row>
    <row r="4917" spans="1:25" x14ac:dyDescent="0.35">
      <c r="A4917" t="s">
        <v>14</v>
      </c>
      <c r="B4917" t="s">
        <v>61</v>
      </c>
      <c r="Y4917">
        <v>0</v>
      </c>
    </row>
    <row r="4918" spans="1:25" x14ac:dyDescent="0.35">
      <c r="A4918" t="s">
        <v>14</v>
      </c>
      <c r="B4918" t="s">
        <v>62</v>
      </c>
      <c r="Y4918">
        <v>70</v>
      </c>
    </row>
    <row r="4919" spans="1:25" x14ac:dyDescent="0.35">
      <c r="A4919" t="s">
        <v>14</v>
      </c>
      <c r="B4919" t="s">
        <v>63</v>
      </c>
      <c r="Y4919">
        <v>75.752727272727256</v>
      </c>
    </row>
    <row r="4920" spans="1:25" x14ac:dyDescent="0.35">
      <c r="A4920" t="s">
        <v>14</v>
      </c>
      <c r="B4920" t="s">
        <v>64</v>
      </c>
      <c r="Y4920">
        <v>93.672727272727286</v>
      </c>
    </row>
    <row r="4921" spans="1:25" x14ac:dyDescent="0.35">
      <c r="A4921" t="s">
        <v>14</v>
      </c>
      <c r="B4921" t="s">
        <v>65</v>
      </c>
      <c r="Y4921">
        <v>105.27999999999999</v>
      </c>
    </row>
    <row r="4922" spans="1:25" x14ac:dyDescent="0.35">
      <c r="A4922" t="s">
        <v>14</v>
      </c>
      <c r="B4922" t="s">
        <v>66</v>
      </c>
      <c r="Y4922">
        <v>84.458181818181814</v>
      </c>
    </row>
    <row r="4923" spans="1:25" x14ac:dyDescent="0.35">
      <c r="A4923" t="s">
        <v>14</v>
      </c>
      <c r="B4923" t="s">
        <v>47</v>
      </c>
      <c r="Y4923">
        <v>429.16363636363633</v>
      </c>
    </row>
    <row r="4924" spans="1:25" x14ac:dyDescent="0.35">
      <c r="A4924" t="s">
        <v>15</v>
      </c>
      <c r="B4924" t="s">
        <v>72</v>
      </c>
      <c r="Y4924">
        <v>0</v>
      </c>
    </row>
    <row r="4925" spans="1:25" x14ac:dyDescent="0.35">
      <c r="A4925" t="s">
        <v>15</v>
      </c>
      <c r="B4925" t="s">
        <v>61</v>
      </c>
      <c r="Y4925">
        <v>0</v>
      </c>
    </row>
    <row r="4926" spans="1:25" x14ac:dyDescent="0.35">
      <c r="A4926" t="s">
        <v>15</v>
      </c>
      <c r="B4926" t="s">
        <v>62</v>
      </c>
      <c r="Y4926">
        <v>70</v>
      </c>
    </row>
    <row r="4927" spans="1:25" x14ac:dyDescent="0.35">
      <c r="A4927" t="s">
        <v>15</v>
      </c>
      <c r="B4927" t="s">
        <v>63</v>
      </c>
      <c r="Y4927">
        <v>75.75272727272727</v>
      </c>
    </row>
    <row r="4928" spans="1:25" x14ac:dyDescent="0.35">
      <c r="A4928" t="s">
        <v>15</v>
      </c>
      <c r="B4928" t="s">
        <v>64</v>
      </c>
      <c r="Y4928">
        <v>93.672727272727286</v>
      </c>
    </row>
    <row r="4929" spans="1:25" x14ac:dyDescent="0.35">
      <c r="A4929" t="s">
        <v>15</v>
      </c>
      <c r="B4929" t="s">
        <v>65</v>
      </c>
      <c r="Y4929">
        <v>105.28</v>
      </c>
    </row>
    <row r="4930" spans="1:25" x14ac:dyDescent="0.35">
      <c r="A4930" t="s">
        <v>15</v>
      </c>
      <c r="B4930" t="s">
        <v>66</v>
      </c>
      <c r="Y4930">
        <v>84.458181818181814</v>
      </c>
    </row>
    <row r="4931" spans="1:25" x14ac:dyDescent="0.35">
      <c r="A4931" t="s">
        <v>15</v>
      </c>
      <c r="B4931" t="s">
        <v>47</v>
      </c>
      <c r="Y4931">
        <v>429.16363636363639</v>
      </c>
    </row>
    <row r="4932" spans="1:25" x14ac:dyDescent="0.35">
      <c r="A4932" t="s">
        <v>16</v>
      </c>
      <c r="B4932" t="s">
        <v>72</v>
      </c>
      <c r="Y4932">
        <v>0</v>
      </c>
    </row>
    <row r="4933" spans="1:25" x14ac:dyDescent="0.35">
      <c r="A4933" t="s">
        <v>16</v>
      </c>
      <c r="B4933" t="s">
        <v>61</v>
      </c>
      <c r="Y4933">
        <v>0</v>
      </c>
    </row>
    <row r="4934" spans="1:25" x14ac:dyDescent="0.35">
      <c r="A4934" t="s">
        <v>16</v>
      </c>
      <c r="B4934" t="s">
        <v>62</v>
      </c>
      <c r="Y4934">
        <v>70</v>
      </c>
    </row>
    <row r="4935" spans="1:25" x14ac:dyDescent="0.35">
      <c r="A4935" t="s">
        <v>16</v>
      </c>
      <c r="B4935" t="s">
        <v>63</v>
      </c>
      <c r="Y4935">
        <v>75.752727272727256</v>
      </c>
    </row>
    <row r="4936" spans="1:25" x14ac:dyDescent="0.35">
      <c r="A4936" t="s">
        <v>16</v>
      </c>
      <c r="B4936" t="s">
        <v>64</v>
      </c>
      <c r="Y4936">
        <v>93.672727272727258</v>
      </c>
    </row>
    <row r="4937" spans="1:25" x14ac:dyDescent="0.35">
      <c r="A4937" t="s">
        <v>16</v>
      </c>
      <c r="B4937" t="s">
        <v>65</v>
      </c>
      <c r="Y4937">
        <v>105.27999999999997</v>
      </c>
    </row>
    <row r="4938" spans="1:25" x14ac:dyDescent="0.35">
      <c r="A4938" t="s">
        <v>16</v>
      </c>
      <c r="B4938" t="s">
        <v>66</v>
      </c>
      <c r="Y4938">
        <v>84.458181818181814</v>
      </c>
    </row>
    <row r="4939" spans="1:25" x14ac:dyDescent="0.35">
      <c r="A4939" t="s">
        <v>16</v>
      </c>
      <c r="B4939" t="s">
        <v>47</v>
      </c>
      <c r="Y4939">
        <v>429.16363636363627</v>
      </c>
    </row>
    <row r="4940" spans="1:25" x14ac:dyDescent="0.35">
      <c r="A4940" t="s">
        <v>17</v>
      </c>
      <c r="B4940" t="s">
        <v>72</v>
      </c>
      <c r="Y4940">
        <v>0</v>
      </c>
    </row>
    <row r="4941" spans="1:25" x14ac:dyDescent="0.35">
      <c r="A4941" t="s">
        <v>17</v>
      </c>
      <c r="B4941" t="s">
        <v>61</v>
      </c>
      <c r="Y4941">
        <v>0</v>
      </c>
    </row>
    <row r="4942" spans="1:25" x14ac:dyDescent="0.35">
      <c r="A4942" t="s">
        <v>17</v>
      </c>
      <c r="B4942" t="s">
        <v>62</v>
      </c>
      <c r="Y4942">
        <v>70</v>
      </c>
    </row>
    <row r="4943" spans="1:25" x14ac:dyDescent="0.35">
      <c r="A4943" t="s">
        <v>17</v>
      </c>
      <c r="B4943" t="s">
        <v>63</v>
      </c>
      <c r="Y4943">
        <v>75.75272727272727</v>
      </c>
    </row>
    <row r="4944" spans="1:25" x14ac:dyDescent="0.35">
      <c r="A4944" t="s">
        <v>17</v>
      </c>
      <c r="B4944" t="s">
        <v>64</v>
      </c>
      <c r="Y4944">
        <v>93.672727272727286</v>
      </c>
    </row>
    <row r="4945" spans="1:25" x14ac:dyDescent="0.35">
      <c r="A4945" t="s">
        <v>17</v>
      </c>
      <c r="B4945" t="s">
        <v>65</v>
      </c>
      <c r="Y4945">
        <v>105.27999999999999</v>
      </c>
    </row>
    <row r="4946" spans="1:25" x14ac:dyDescent="0.35">
      <c r="A4946" t="s">
        <v>17</v>
      </c>
      <c r="B4946" t="s">
        <v>66</v>
      </c>
      <c r="Y4946">
        <v>84.458181818181814</v>
      </c>
    </row>
    <row r="4947" spans="1:25" x14ac:dyDescent="0.35">
      <c r="A4947" t="s">
        <v>17</v>
      </c>
      <c r="B4947" t="s">
        <v>47</v>
      </c>
      <c r="Y4947">
        <v>429.16363636363633</v>
      </c>
    </row>
    <row r="4948" spans="1:25" x14ac:dyDescent="0.35">
      <c r="A4948" t="s">
        <v>18</v>
      </c>
      <c r="B4948" t="s">
        <v>72</v>
      </c>
      <c r="Y4948">
        <v>0</v>
      </c>
    </row>
    <row r="4949" spans="1:25" x14ac:dyDescent="0.35">
      <c r="A4949" t="s">
        <v>18</v>
      </c>
      <c r="B4949" t="s">
        <v>61</v>
      </c>
      <c r="Y4949">
        <v>0</v>
      </c>
    </row>
    <row r="4950" spans="1:25" x14ac:dyDescent="0.35">
      <c r="A4950" t="s">
        <v>18</v>
      </c>
      <c r="B4950" t="s">
        <v>62</v>
      </c>
      <c r="Y4950">
        <v>70</v>
      </c>
    </row>
    <row r="4951" spans="1:25" x14ac:dyDescent="0.35">
      <c r="A4951" t="s">
        <v>18</v>
      </c>
      <c r="B4951" t="s">
        <v>63</v>
      </c>
      <c r="Y4951">
        <v>75.75272727272727</v>
      </c>
    </row>
    <row r="4952" spans="1:25" x14ac:dyDescent="0.35">
      <c r="A4952" t="s">
        <v>18</v>
      </c>
      <c r="B4952" t="s">
        <v>64</v>
      </c>
      <c r="Y4952">
        <v>93.672727272727286</v>
      </c>
    </row>
    <row r="4953" spans="1:25" x14ac:dyDescent="0.35">
      <c r="A4953" t="s">
        <v>18</v>
      </c>
      <c r="B4953" t="s">
        <v>65</v>
      </c>
      <c r="Y4953">
        <v>105.27999999999999</v>
      </c>
    </row>
    <row r="4954" spans="1:25" x14ac:dyDescent="0.35">
      <c r="A4954" t="s">
        <v>18</v>
      </c>
      <c r="B4954" t="s">
        <v>66</v>
      </c>
      <c r="Y4954">
        <v>84.458181818181814</v>
      </c>
    </row>
    <row r="4955" spans="1:25" x14ac:dyDescent="0.35">
      <c r="A4955" t="s">
        <v>18</v>
      </c>
      <c r="B4955" t="s">
        <v>47</v>
      </c>
      <c r="Y4955">
        <v>429.16363636363633</v>
      </c>
    </row>
    <row r="4956" spans="1:25" x14ac:dyDescent="0.35">
      <c r="A4956" t="s">
        <v>19</v>
      </c>
      <c r="B4956" t="s">
        <v>72</v>
      </c>
      <c r="Y4956">
        <v>0</v>
      </c>
    </row>
    <row r="4957" spans="1:25" x14ac:dyDescent="0.35">
      <c r="A4957" t="s">
        <v>19</v>
      </c>
      <c r="B4957" t="s">
        <v>61</v>
      </c>
      <c r="Y4957">
        <v>0</v>
      </c>
    </row>
    <row r="4958" spans="1:25" x14ac:dyDescent="0.35">
      <c r="A4958" t="s">
        <v>19</v>
      </c>
      <c r="B4958" t="s">
        <v>62</v>
      </c>
      <c r="Y4958">
        <v>70</v>
      </c>
    </row>
    <row r="4959" spans="1:25" x14ac:dyDescent="0.35">
      <c r="A4959" t="s">
        <v>19</v>
      </c>
      <c r="B4959" t="s">
        <v>63</v>
      </c>
      <c r="Y4959">
        <v>75.75272727272727</v>
      </c>
    </row>
    <row r="4960" spans="1:25" x14ac:dyDescent="0.35">
      <c r="A4960" t="s">
        <v>19</v>
      </c>
      <c r="B4960" t="s">
        <v>64</v>
      </c>
      <c r="Y4960">
        <v>93.672727272727286</v>
      </c>
    </row>
    <row r="4961" spans="1:25" x14ac:dyDescent="0.35">
      <c r="A4961" t="s">
        <v>19</v>
      </c>
      <c r="B4961" t="s">
        <v>65</v>
      </c>
      <c r="Y4961">
        <v>105.28</v>
      </c>
    </row>
    <row r="4962" spans="1:25" x14ac:dyDescent="0.35">
      <c r="A4962" t="s">
        <v>19</v>
      </c>
      <c r="B4962" t="s">
        <v>66</v>
      </c>
      <c r="Y4962">
        <v>84.458181818181799</v>
      </c>
    </row>
    <row r="4963" spans="1:25" x14ac:dyDescent="0.35">
      <c r="A4963" t="s">
        <v>19</v>
      </c>
      <c r="B4963" t="s">
        <v>47</v>
      </c>
      <c r="Y4963">
        <v>429.16363636363639</v>
      </c>
    </row>
    <row r="4964" spans="1:25" x14ac:dyDescent="0.35">
      <c r="A4964" t="s">
        <v>20</v>
      </c>
      <c r="B4964" t="s">
        <v>72</v>
      </c>
      <c r="Y4964">
        <v>0</v>
      </c>
    </row>
    <row r="4965" spans="1:25" x14ac:dyDescent="0.35">
      <c r="A4965" t="s">
        <v>20</v>
      </c>
      <c r="B4965" t="s">
        <v>61</v>
      </c>
      <c r="Y4965">
        <v>0</v>
      </c>
    </row>
    <row r="4966" spans="1:25" x14ac:dyDescent="0.35">
      <c r="A4966" t="s">
        <v>20</v>
      </c>
      <c r="B4966" t="s">
        <v>62</v>
      </c>
      <c r="Y4966">
        <v>70</v>
      </c>
    </row>
    <row r="4967" spans="1:25" x14ac:dyDescent="0.35">
      <c r="A4967" t="s">
        <v>20</v>
      </c>
      <c r="B4967" t="s">
        <v>63</v>
      </c>
      <c r="Y4967">
        <v>75.75272727272727</v>
      </c>
    </row>
    <row r="4968" spans="1:25" x14ac:dyDescent="0.35">
      <c r="A4968" t="s">
        <v>20</v>
      </c>
      <c r="B4968" t="s">
        <v>64</v>
      </c>
      <c r="Y4968">
        <v>93.672727272727286</v>
      </c>
    </row>
    <row r="4969" spans="1:25" x14ac:dyDescent="0.35">
      <c r="A4969" t="s">
        <v>20</v>
      </c>
      <c r="B4969" t="s">
        <v>65</v>
      </c>
      <c r="Y4969">
        <v>105.28</v>
      </c>
    </row>
    <row r="4970" spans="1:25" x14ac:dyDescent="0.35">
      <c r="A4970" t="s">
        <v>20</v>
      </c>
      <c r="B4970" t="s">
        <v>66</v>
      </c>
      <c r="Y4970">
        <v>84.458181818181828</v>
      </c>
    </row>
    <row r="4971" spans="1:25" x14ac:dyDescent="0.35">
      <c r="A4971" t="s">
        <v>20</v>
      </c>
      <c r="B4971" t="s">
        <v>47</v>
      </c>
      <c r="Y4971">
        <v>429.16363636363644</v>
      </c>
    </row>
    <row r="4972" spans="1:25" x14ac:dyDescent="0.35">
      <c r="A4972" t="s">
        <v>21</v>
      </c>
      <c r="B4972" t="s">
        <v>72</v>
      </c>
      <c r="Y4972">
        <v>0</v>
      </c>
    </row>
    <row r="4973" spans="1:25" x14ac:dyDescent="0.35">
      <c r="A4973" t="s">
        <v>21</v>
      </c>
      <c r="B4973" t="s">
        <v>61</v>
      </c>
      <c r="Y4973">
        <v>0</v>
      </c>
    </row>
    <row r="4974" spans="1:25" x14ac:dyDescent="0.35">
      <c r="A4974" t="s">
        <v>21</v>
      </c>
      <c r="B4974" t="s">
        <v>62</v>
      </c>
      <c r="Y4974">
        <v>70</v>
      </c>
    </row>
    <row r="4975" spans="1:25" x14ac:dyDescent="0.35">
      <c r="A4975" t="s">
        <v>21</v>
      </c>
      <c r="B4975" t="s">
        <v>63</v>
      </c>
      <c r="Y4975">
        <v>75.752727272727256</v>
      </c>
    </row>
    <row r="4976" spans="1:25" x14ac:dyDescent="0.35">
      <c r="A4976" t="s">
        <v>21</v>
      </c>
      <c r="B4976" t="s">
        <v>64</v>
      </c>
      <c r="Y4976">
        <v>93.672727272727272</v>
      </c>
    </row>
    <row r="4977" spans="1:25" x14ac:dyDescent="0.35">
      <c r="A4977" t="s">
        <v>21</v>
      </c>
      <c r="B4977" t="s">
        <v>65</v>
      </c>
      <c r="Y4977">
        <v>105.27999999999999</v>
      </c>
    </row>
    <row r="4978" spans="1:25" x14ac:dyDescent="0.35">
      <c r="A4978" t="s">
        <v>21</v>
      </c>
      <c r="B4978" t="s">
        <v>66</v>
      </c>
      <c r="Y4978">
        <v>84.458181818181799</v>
      </c>
    </row>
    <row r="4979" spans="1:25" x14ac:dyDescent="0.35">
      <c r="A4979" t="s">
        <v>21</v>
      </c>
      <c r="B4979" t="s">
        <v>47</v>
      </c>
      <c r="Y4979">
        <v>429.16363636363633</v>
      </c>
    </row>
    <row r="4980" spans="1:25" x14ac:dyDescent="0.35">
      <c r="A4980" t="s">
        <v>22</v>
      </c>
      <c r="B4980" t="s">
        <v>72</v>
      </c>
      <c r="Y4980">
        <v>0</v>
      </c>
    </row>
    <row r="4981" spans="1:25" x14ac:dyDescent="0.35">
      <c r="A4981" t="s">
        <v>22</v>
      </c>
      <c r="B4981" t="s">
        <v>61</v>
      </c>
      <c r="Y4981">
        <v>0</v>
      </c>
    </row>
    <row r="4982" spans="1:25" x14ac:dyDescent="0.35">
      <c r="A4982" t="s">
        <v>22</v>
      </c>
      <c r="B4982" t="s">
        <v>62</v>
      </c>
      <c r="Y4982">
        <v>70</v>
      </c>
    </row>
    <row r="4983" spans="1:25" x14ac:dyDescent="0.35">
      <c r="A4983" t="s">
        <v>22</v>
      </c>
      <c r="B4983" t="s">
        <v>63</v>
      </c>
      <c r="Y4983">
        <v>75.75272727272727</v>
      </c>
    </row>
    <row r="4984" spans="1:25" x14ac:dyDescent="0.35">
      <c r="A4984" t="s">
        <v>22</v>
      </c>
      <c r="B4984" t="s">
        <v>64</v>
      </c>
      <c r="Y4984">
        <v>93.672727272727272</v>
      </c>
    </row>
    <row r="4985" spans="1:25" x14ac:dyDescent="0.35">
      <c r="A4985" t="s">
        <v>22</v>
      </c>
      <c r="B4985" t="s">
        <v>65</v>
      </c>
      <c r="Y4985">
        <v>105.28000000000002</v>
      </c>
    </row>
    <row r="4986" spans="1:25" x14ac:dyDescent="0.35">
      <c r="A4986" t="s">
        <v>22</v>
      </c>
      <c r="B4986" t="s">
        <v>66</v>
      </c>
      <c r="Y4986">
        <v>84.458181818181814</v>
      </c>
    </row>
    <row r="4987" spans="1:25" x14ac:dyDescent="0.35">
      <c r="A4987" t="s">
        <v>22</v>
      </c>
      <c r="B4987" t="s">
        <v>47</v>
      </c>
      <c r="Y4987">
        <v>429.16363636363639</v>
      </c>
    </row>
    <row r="4988" spans="1:25" x14ac:dyDescent="0.35">
      <c r="A4988" t="s">
        <v>23</v>
      </c>
      <c r="B4988" t="s">
        <v>72</v>
      </c>
      <c r="Y4988">
        <v>0</v>
      </c>
    </row>
    <row r="4989" spans="1:25" x14ac:dyDescent="0.35">
      <c r="A4989" t="s">
        <v>23</v>
      </c>
      <c r="B4989" t="s">
        <v>61</v>
      </c>
      <c r="Y4989">
        <v>0</v>
      </c>
    </row>
    <row r="4990" spans="1:25" x14ac:dyDescent="0.35">
      <c r="A4990" t="s">
        <v>23</v>
      </c>
      <c r="B4990" t="s">
        <v>62</v>
      </c>
      <c r="Y4990">
        <v>70</v>
      </c>
    </row>
    <row r="4991" spans="1:25" x14ac:dyDescent="0.35">
      <c r="A4991" t="s">
        <v>23</v>
      </c>
      <c r="B4991" t="s">
        <v>63</v>
      </c>
      <c r="Y4991">
        <v>75.75272727272727</v>
      </c>
    </row>
    <row r="4992" spans="1:25" x14ac:dyDescent="0.35">
      <c r="A4992" t="s">
        <v>23</v>
      </c>
      <c r="B4992" t="s">
        <v>64</v>
      </c>
      <c r="Y4992">
        <v>93.672727272727286</v>
      </c>
    </row>
    <row r="4993" spans="1:25" x14ac:dyDescent="0.35">
      <c r="A4993" t="s">
        <v>23</v>
      </c>
      <c r="B4993" t="s">
        <v>65</v>
      </c>
      <c r="Y4993">
        <v>105.28</v>
      </c>
    </row>
    <row r="4994" spans="1:25" x14ac:dyDescent="0.35">
      <c r="A4994" t="s">
        <v>23</v>
      </c>
      <c r="B4994" t="s">
        <v>66</v>
      </c>
      <c r="Y4994">
        <v>84.458181818181828</v>
      </c>
    </row>
    <row r="4995" spans="1:25" x14ac:dyDescent="0.35">
      <c r="A4995" t="s">
        <v>23</v>
      </c>
      <c r="B4995" t="s">
        <v>47</v>
      </c>
      <c r="Y4995">
        <v>429.16363636363644</v>
      </c>
    </row>
    <row r="4996" spans="1:25" x14ac:dyDescent="0.35">
      <c r="A4996" t="s">
        <v>24</v>
      </c>
      <c r="B4996" t="s">
        <v>72</v>
      </c>
      <c r="Y4996">
        <v>0</v>
      </c>
    </row>
    <row r="4997" spans="1:25" x14ac:dyDescent="0.35">
      <c r="A4997" t="s">
        <v>24</v>
      </c>
      <c r="B4997" t="s">
        <v>61</v>
      </c>
      <c r="Y4997">
        <v>0</v>
      </c>
    </row>
    <row r="4998" spans="1:25" x14ac:dyDescent="0.35">
      <c r="A4998" t="s">
        <v>24</v>
      </c>
      <c r="B4998" t="s">
        <v>62</v>
      </c>
      <c r="Y4998">
        <v>70</v>
      </c>
    </row>
    <row r="4999" spans="1:25" x14ac:dyDescent="0.35">
      <c r="A4999" t="s">
        <v>24</v>
      </c>
      <c r="B4999" t="s">
        <v>63</v>
      </c>
      <c r="Y4999">
        <v>75.752727272727256</v>
      </c>
    </row>
    <row r="5000" spans="1:25" x14ac:dyDescent="0.35">
      <c r="A5000" t="s">
        <v>24</v>
      </c>
      <c r="B5000" t="s">
        <v>64</v>
      </c>
      <c r="Y5000">
        <v>93.672727272727258</v>
      </c>
    </row>
    <row r="5001" spans="1:25" x14ac:dyDescent="0.35">
      <c r="A5001" t="s">
        <v>24</v>
      </c>
      <c r="B5001" t="s">
        <v>65</v>
      </c>
      <c r="Y5001">
        <v>105.27999999999999</v>
      </c>
    </row>
    <row r="5002" spans="1:25" x14ac:dyDescent="0.35">
      <c r="A5002" t="s">
        <v>24</v>
      </c>
      <c r="B5002" t="s">
        <v>66</v>
      </c>
      <c r="Y5002">
        <v>84.458181818181799</v>
      </c>
    </row>
    <row r="5003" spans="1:25" x14ac:dyDescent="0.35">
      <c r="A5003" t="s">
        <v>24</v>
      </c>
      <c r="B5003" t="s">
        <v>47</v>
      </c>
      <c r="Y5003">
        <v>429.16363636363633</v>
      </c>
    </row>
    <row r="5004" spans="1:25" x14ac:dyDescent="0.35">
      <c r="A5004" t="s">
        <v>25</v>
      </c>
      <c r="B5004" t="s">
        <v>72</v>
      </c>
      <c r="Y5004">
        <v>0</v>
      </c>
    </row>
    <row r="5005" spans="1:25" x14ac:dyDescent="0.35">
      <c r="A5005" t="s">
        <v>25</v>
      </c>
      <c r="B5005" t="s">
        <v>61</v>
      </c>
      <c r="Y5005">
        <v>0</v>
      </c>
    </row>
    <row r="5006" spans="1:25" x14ac:dyDescent="0.35">
      <c r="A5006" t="s">
        <v>25</v>
      </c>
      <c r="B5006" t="s">
        <v>62</v>
      </c>
      <c r="Y5006">
        <v>70</v>
      </c>
    </row>
    <row r="5007" spans="1:25" x14ac:dyDescent="0.35">
      <c r="A5007" t="s">
        <v>25</v>
      </c>
      <c r="B5007" t="s">
        <v>63</v>
      </c>
      <c r="Y5007">
        <v>75.75272727272727</v>
      </c>
    </row>
    <row r="5008" spans="1:25" x14ac:dyDescent="0.35">
      <c r="A5008" t="s">
        <v>25</v>
      </c>
      <c r="B5008" t="s">
        <v>64</v>
      </c>
      <c r="Y5008">
        <v>93.672727272727272</v>
      </c>
    </row>
    <row r="5009" spans="1:25" x14ac:dyDescent="0.35">
      <c r="A5009" t="s">
        <v>25</v>
      </c>
      <c r="B5009" t="s">
        <v>65</v>
      </c>
      <c r="Y5009">
        <v>105.28</v>
      </c>
    </row>
    <row r="5010" spans="1:25" x14ac:dyDescent="0.35">
      <c r="A5010" t="s">
        <v>25</v>
      </c>
      <c r="B5010" t="s">
        <v>66</v>
      </c>
      <c r="Y5010">
        <v>84.458181818181828</v>
      </c>
    </row>
    <row r="5011" spans="1:25" x14ac:dyDescent="0.35">
      <c r="A5011" t="s">
        <v>25</v>
      </c>
      <c r="B5011" t="s">
        <v>47</v>
      </c>
      <c r="Y5011">
        <v>429.16363636363644</v>
      </c>
    </row>
    <row r="5012" spans="1:25" x14ac:dyDescent="0.35">
      <c r="A5012" t="s">
        <v>26</v>
      </c>
      <c r="B5012" t="s">
        <v>72</v>
      </c>
      <c r="Y5012">
        <v>0</v>
      </c>
    </row>
    <row r="5013" spans="1:25" x14ac:dyDescent="0.35">
      <c r="A5013" t="s">
        <v>26</v>
      </c>
      <c r="B5013" t="s">
        <v>61</v>
      </c>
      <c r="Y5013">
        <v>0</v>
      </c>
    </row>
    <row r="5014" spans="1:25" x14ac:dyDescent="0.35">
      <c r="A5014" t="s">
        <v>26</v>
      </c>
      <c r="B5014" t="s">
        <v>62</v>
      </c>
      <c r="Y5014">
        <v>70</v>
      </c>
    </row>
    <row r="5015" spans="1:25" x14ac:dyDescent="0.35">
      <c r="A5015" t="s">
        <v>26</v>
      </c>
      <c r="B5015" t="s">
        <v>63</v>
      </c>
      <c r="Y5015">
        <v>75.752727272727256</v>
      </c>
    </row>
    <row r="5016" spans="1:25" x14ac:dyDescent="0.35">
      <c r="A5016" t="s">
        <v>26</v>
      </c>
      <c r="B5016" t="s">
        <v>64</v>
      </c>
      <c r="Y5016">
        <v>93.672727272727272</v>
      </c>
    </row>
    <row r="5017" spans="1:25" x14ac:dyDescent="0.35">
      <c r="A5017" t="s">
        <v>26</v>
      </c>
      <c r="B5017" t="s">
        <v>65</v>
      </c>
      <c r="Y5017">
        <v>105.28</v>
      </c>
    </row>
    <row r="5018" spans="1:25" x14ac:dyDescent="0.35">
      <c r="A5018" t="s">
        <v>26</v>
      </c>
      <c r="B5018" t="s">
        <v>66</v>
      </c>
      <c r="Y5018">
        <v>84.458181818181814</v>
      </c>
    </row>
    <row r="5019" spans="1:25" x14ac:dyDescent="0.35">
      <c r="A5019" t="s">
        <v>26</v>
      </c>
      <c r="B5019" t="s">
        <v>47</v>
      </c>
      <c r="Y5019">
        <v>429.16363636363639</v>
      </c>
    </row>
    <row r="5020" spans="1:25" x14ac:dyDescent="0.35">
      <c r="A5020" t="s">
        <v>27</v>
      </c>
      <c r="B5020" t="s">
        <v>72</v>
      </c>
      <c r="Y5020">
        <v>0</v>
      </c>
    </row>
    <row r="5021" spans="1:25" x14ac:dyDescent="0.35">
      <c r="A5021" t="s">
        <v>27</v>
      </c>
      <c r="B5021" t="s">
        <v>61</v>
      </c>
      <c r="Y5021">
        <v>0</v>
      </c>
    </row>
    <row r="5022" spans="1:25" x14ac:dyDescent="0.35">
      <c r="A5022" t="s">
        <v>27</v>
      </c>
      <c r="B5022" t="s">
        <v>62</v>
      </c>
      <c r="Y5022">
        <v>70</v>
      </c>
    </row>
    <row r="5023" spans="1:25" x14ac:dyDescent="0.35">
      <c r="A5023" t="s">
        <v>27</v>
      </c>
      <c r="B5023" t="s">
        <v>63</v>
      </c>
      <c r="Y5023">
        <v>75.75272727272727</v>
      </c>
    </row>
    <row r="5024" spans="1:25" x14ac:dyDescent="0.35">
      <c r="A5024" t="s">
        <v>27</v>
      </c>
      <c r="B5024" t="s">
        <v>64</v>
      </c>
      <c r="Y5024">
        <v>93.672727272727272</v>
      </c>
    </row>
    <row r="5025" spans="1:25" x14ac:dyDescent="0.35">
      <c r="A5025" t="s">
        <v>27</v>
      </c>
      <c r="B5025" t="s">
        <v>65</v>
      </c>
      <c r="Y5025">
        <v>105.27999999999999</v>
      </c>
    </row>
    <row r="5026" spans="1:25" x14ac:dyDescent="0.35">
      <c r="A5026" t="s">
        <v>27</v>
      </c>
      <c r="B5026" t="s">
        <v>66</v>
      </c>
      <c r="Y5026">
        <v>84.458181818181814</v>
      </c>
    </row>
    <row r="5027" spans="1:25" x14ac:dyDescent="0.35">
      <c r="A5027" t="s">
        <v>27</v>
      </c>
      <c r="B5027" t="s">
        <v>47</v>
      </c>
      <c r="Y5027">
        <v>429.16363636363633</v>
      </c>
    </row>
    <row r="5028" spans="1:25" x14ac:dyDescent="0.35">
      <c r="A5028" t="s">
        <v>28</v>
      </c>
      <c r="B5028" t="s">
        <v>72</v>
      </c>
      <c r="Y5028">
        <v>0</v>
      </c>
    </row>
    <row r="5029" spans="1:25" x14ac:dyDescent="0.35">
      <c r="A5029" t="s">
        <v>28</v>
      </c>
      <c r="B5029" t="s">
        <v>61</v>
      </c>
      <c r="Y5029">
        <v>0</v>
      </c>
    </row>
    <row r="5030" spans="1:25" x14ac:dyDescent="0.35">
      <c r="A5030" t="s">
        <v>28</v>
      </c>
      <c r="B5030" t="s">
        <v>62</v>
      </c>
      <c r="Y5030">
        <v>70</v>
      </c>
    </row>
    <row r="5031" spans="1:25" x14ac:dyDescent="0.35">
      <c r="A5031" t="s">
        <v>28</v>
      </c>
      <c r="B5031" t="s">
        <v>63</v>
      </c>
      <c r="Y5031">
        <v>75.75272727272727</v>
      </c>
    </row>
    <row r="5032" spans="1:25" x14ac:dyDescent="0.35">
      <c r="A5032" t="s">
        <v>28</v>
      </c>
      <c r="B5032" t="s">
        <v>64</v>
      </c>
      <c r="Y5032">
        <v>93.672727272727286</v>
      </c>
    </row>
    <row r="5033" spans="1:25" x14ac:dyDescent="0.35">
      <c r="A5033" t="s">
        <v>28</v>
      </c>
      <c r="B5033" t="s">
        <v>65</v>
      </c>
      <c r="Y5033">
        <v>105.28</v>
      </c>
    </row>
    <row r="5034" spans="1:25" x14ac:dyDescent="0.35">
      <c r="A5034" t="s">
        <v>28</v>
      </c>
      <c r="B5034" t="s">
        <v>66</v>
      </c>
      <c r="Y5034">
        <v>84.458181818181814</v>
      </c>
    </row>
    <row r="5035" spans="1:25" x14ac:dyDescent="0.35">
      <c r="A5035" t="s">
        <v>28</v>
      </c>
      <c r="B5035" t="s">
        <v>47</v>
      </c>
      <c r="Y5035">
        <v>429.16363636363639</v>
      </c>
    </row>
    <row r="5036" spans="1:25" x14ac:dyDescent="0.35">
      <c r="A5036" t="s">
        <v>29</v>
      </c>
      <c r="B5036" t="s">
        <v>72</v>
      </c>
      <c r="Y5036">
        <v>0</v>
      </c>
    </row>
    <row r="5037" spans="1:25" x14ac:dyDescent="0.35">
      <c r="A5037" t="s">
        <v>29</v>
      </c>
      <c r="B5037" t="s">
        <v>61</v>
      </c>
      <c r="Y5037">
        <v>0</v>
      </c>
    </row>
    <row r="5038" spans="1:25" x14ac:dyDescent="0.35">
      <c r="A5038" t="s">
        <v>29</v>
      </c>
      <c r="B5038" t="s">
        <v>62</v>
      </c>
      <c r="Y5038">
        <v>70</v>
      </c>
    </row>
    <row r="5039" spans="1:25" x14ac:dyDescent="0.35">
      <c r="A5039" t="s">
        <v>29</v>
      </c>
      <c r="B5039" t="s">
        <v>63</v>
      </c>
      <c r="Y5039">
        <v>75.752727272727256</v>
      </c>
    </row>
    <row r="5040" spans="1:25" x14ac:dyDescent="0.35">
      <c r="A5040" t="s">
        <v>29</v>
      </c>
      <c r="B5040" t="s">
        <v>64</v>
      </c>
      <c r="Y5040">
        <v>93.672727272727258</v>
      </c>
    </row>
    <row r="5041" spans="1:25" x14ac:dyDescent="0.35">
      <c r="A5041" t="s">
        <v>29</v>
      </c>
      <c r="B5041" t="s">
        <v>65</v>
      </c>
      <c r="Y5041">
        <v>105.27999999999997</v>
      </c>
    </row>
    <row r="5042" spans="1:25" x14ac:dyDescent="0.35">
      <c r="A5042" t="s">
        <v>29</v>
      </c>
      <c r="B5042" t="s">
        <v>66</v>
      </c>
      <c r="Y5042">
        <v>84.458181818181814</v>
      </c>
    </row>
    <row r="5043" spans="1:25" x14ac:dyDescent="0.35">
      <c r="A5043" t="s">
        <v>29</v>
      </c>
      <c r="B5043" t="s">
        <v>47</v>
      </c>
      <c r="Y5043">
        <v>429.16363636363627</v>
      </c>
    </row>
  </sheetData>
  <phoneticPr fontId="16" type="noConversion"/>
  <pageMargins left="0.7" right="0.7" top="0.75" bottom="0.75" header="0.3" footer="0.3"/>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 A p p e n d 2 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 A p p e n d 2 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 C o l u m n s \ S C F   r e v e n u e s < / K e y > < / a : K e y > < a : V a l u e   i : t y p e = " T a b l e W i d g e t B a s e V i e w S t a t e " / > < / a : K e y V a l u e O f D i a g r a m O b j e c t K e y a n y T y p e z b w N T n L X > < a : K e y V a l u e O f D i a g r a m O b j e c t K e y a n y T y p e z b w N T n L X > < a : K e y > < K e y > C o l u m n s \ E T S 2   a u c t i o n   r e v e n u e s   o u t i d e   S C F < / K e y > < / a : K e y > < a : V a l u e   i : t y p e = " T a b l e W i d g e t B a s e V i e w S t a t e " / > < / a : K e y V a l u e O f D i a g r a m O b j e c t K e y a n y T y p e z b w N T n L X > < a : K e y V a l u e O f D i a g r a m O b j e c t K e y a n y T y p e z b w N T n L X > < a : K e y > < K e y > C o l u m n s \ M i n .   o w n   c o n t r i b u t i o n   t o   e x p e n s e s   b y   M S   t o   S C F < / K e y > < / a : K e y > < a : V a l u e   i : t y p e = " T a b l e W i d g e t B a s e V i e w S t a t e " / > < / a : K e y V a l u e O f D i a g r a m O b j e c t K e y a n y T y p e z b w N T n L X > < a : K e y V a l u e O f D i a g r a m O b j e c t K e y a n y T y p e z b w N T n L X > < a : K e y > < K e y > C o l u m n s \ T o t a l   S C F   i n c l .   o w n   c o n t r i b u t i o n < / K e y > < / a : K e y > < a : V a l u e   i : t y p e = " T a b l e W i d g e t B a s e V i e w S t a t e " / > < / a : K e y V a l u e O f D i a g r a m O b j e c t K e y a n y T y p e z b w N T n L X > < a : K e y V a l u e O f D i a g r a m O b j e c t K e y a n y T y p e z b w N T n L X > < a : K e y > < K e y > C o l u m n s \ R e s t   o f   E T S 2   r e v e n u e s   a f t e r   o w n   c o n t r i b u t i o n < / K e y > < / a : K e y > < a : V a l u e   i : t y p e = " T a b l e W i d g e t B a s e V i e w S t a t e " / > < / a : K e y V a l u e O f D i a g r a m O b j e c t K e y a n y T y p e z b w N T n L X > < a : K e y V a l u e O f D i a g r a m O b j e c t K e y a n y T y p e z b w N T n L X > < a : K e y > < K e y > C o l u m n s \ T o t a l   E T S 2   +   S C F   r e v e n u e s < / K e y > < / a : K e y > < a : V a l u e   i : t y p e = " T a b l e W i d g e t B a s e V i e w S t a t e " / > < / a : K e y V a l u e O f D i a g r a m O b j e c t K e y a n y T y p e z b w N T n L X > < a : K e y V a l u e O f D i a g r a m O b j e c t K e y a n y T y p e z b w N T n L X > < a : K e y > < K e y > C o l u m n s \ M a x   d i r e c t   r e d i s t r i b u t i o n   i n   S C F < / K e y > < / a : K e y > < a : V a l u e   i : t y p e = " T a b l e W i d g e t B a s e V i e w S t a t e " / > < / a : K e y V a l u e O f D i a g r a m O b j e c t K e y a n y T y p e z b w N T n L X > < a : K e y V a l u e O f D i a g r a m O b j e c t K e y a n y T y p e z b w N T n L X > < a : K e y > < K e y > C o l u m n s \ T o t a l   S C F   i n c l .   o w n   c o n t r i b u t i o n   p e r   c a p i t a < / K e y > < / a : K e y > < a : V a l u e   i : t y p e = " T a b l e W i d g e t B a s e V i e w S t a t e " / > < / a : K e y V a l u e O f D i a g r a m O b j e c t K e y a n y T y p e z b w N T n L X > < a : K e y V a l u e O f D i a g r a m O b j e c t K e y a n y T y p e z b w N T n L X > < a : K e y > < K e y > C o l u m n s \ R e s t   o f   E T S 2   r e v e n u e s   a f t e r   o w n   c o n t r i b u t i o n   p e r   c a p i t a < / K e y > < / a : K e y > < a : V a l u e   i : t y p e = " T a b l e W i d g e t B a s e V i e w S t a t e " / > < / a : K e y V a l u e O f D i a g r a m O b j e c t K e y a n y T y p e z b w N T n L X > < a : K e y V a l u e O f D i a g r a m O b j e c t K e y a n y T y p e z b w N T n L X > < a : K e y > < K e y > C o l u m n s \ M a x i m u m   d i r e c t   r e d i s t r i b u t i o n   i n   S C F   p e r   c a p i t a < / K e y > < / a : K e y > < a : V a l u e   i : t y p e = " T a b l e W i d g e t B a s e V i e w S t a t e " / > < / a : K e y V a l u e O f D i a g r a m O b j e c t K e y a n y T y p e z b w N T n L X > < a : K e y V a l u e O f D i a g r a m O b j e c t K e y a n y T y p e z b w N T n L X > < a : K e y > < K e y > C o l u m n s \ M a x   r e d i s t r i b u t i o n   p e r   c a p i t a   -   l o w e r   i n c o m e   h o u s e h o l d s < / K e y > < / a : K e y > < a : V a l u e   i : t y p e = " T a b l e W i d g e t B a s e V i e w S t a t e " / > < / a : K e y V a l u e O f D i a g r a m O b j e c t K e y a n y T y p e z b w N T n L X > < a : K e y V a l u e O f D i a g r a m O b j e c t K e y a n y T y p e z b w N T n L X > < a : K e y > < K e y > C o l u m n s \ M a x   r e d i s t r i b u t i o n   t o   p o p   a t   r i s k   o f   p o v e r t y < / K e y > < / a : K e y > < a : V a l u e   i : t y p e = " T a b l e W i d g e t B a s e V i e w S t a t e " / > < / a : K e y V a l u e O f D i a g r a m O b j e c t K e y a n y T y p e z b w N T n L X > < a : K e y V a l u e O f D i a g r a m O b j e c t K e y a n y T y p e z b w N T n L X > < a : K e y > < K e y > C o l u m n s \ F r o n t l o a d i n g < / K e y > < / a : K e y > < a : V a l u e   i : t y p e = " T a b l e W i d g e t B a s e V i e w S t a t e " / > < / a : K e y V a l u e O f D i a g r a m O b j e c t K e y a n y T y p e z b w N T n L X > < a : K e y V a l u e O f D i a g r a m O b j e c t K e y a n y T y p e z b w N T n L X > < a : K e y > < K e y > C o l u m n s \ F r o n t l o a d i n g   p e r   c a p < / K e y > < / a : K e y > < a : V a l u e   i : t y p e = " T a b l e W i d g e t B a s e V i e w S t a t e " / > < / a : K e y V a l u e O f D i a g r a m O b j e c t K e y a n y T y p e z b w N T n L X > < a : K e y V a l u e O f D i a g r a m O b j e c t K e y a n y T y p e z b w N T n L X > < a : K e y > < K e y > C o l u m n s \ C l i m a t e   d i v i d e n d   p e r   c a p < / K e y > < / a : K e y > < a : V a l u e   i : t y p e = " T a b l e W i d g e t B a s e V i e w S t a t e " / > < / a : K e y V a l u e O f D i a g r a m O b j e c t K e y a n y T y p e z b w N T n L X > < a : K e y V a l u e O f D i a g r a m O b j e c t K e y a n y T y p e z b w N T n L X > < a : K e y > < K e y > C o l u m n s \ A l l   r e v e n u e s   P e r   c a p   l o w < / K e y > < / a : K e y > < a : V a l u e   i : t y p e = " T a b l e W i d g e t B a s e V i e w S t a t e " / > < / a : K e y V a l u e O f D i a g r a m O b j e c t K e y a n y T y p e z b w N T n L X > < a : K e y V a l u e O f D i a g r a m O b j e c t K e y a n y T y p e z b w N T n L X > < a : K e y > < K e y > C o l u m n s \ A l l   r e v e n u e s   p e r   c a p   p o v e r t y < / K e y > < / a : K e y > < a : V a l u e   i : t y p e = " T a b l e W i d g e t B a s e V i e w S t a t e " / > < / a : K e y V a l u e O f D i a g r a m O b j e c t K e y a n y T y p e z b w N T n L X > < a : K e y V a l u e O f D i a g r a m O b j e c t K e y a n y T y p e z b w N T n L X > < a : K e y > < K e y > C o l u m n s \ R e v e n u e < / K e y > < / a : K e y > < a : V a l u e   i : t y p e = " T a b l e W i d g e t B a s e V i e w S t a t e " / > < / a : K e y V a l u e O f D i a g r a m O b j e c t K e y a n y T y p e z b w N T n L X > < a : K e y V a l u e O f D i a g r a m O b j e c t K e y a n y T y p e z b w N T n L X > < a : K e y > < K e y > C o l u m n s \ C l i m a t e   d i v i d e n d < / K e y > < / a : K e y > < a : V a l u e   i : t y p e = " T a b l e W i d g e t B a s e V i e w S t a t e " / > < / a : K e y V a l u e O f D i a g r a m O b j e c t K e y a n y T y p e z b w N T n L X > < a : K e y V a l u e O f D i a g r a m O b j e c t K e y a n y T y p e z b w N T n L X > < a : K e y > < K e y > C o l u m n s \ S o c i a l E V < / K e y > < / a : K e y > < a : V a l u e   i : t y p e = " T a b l e W i d g e t B a s e V i e w S t a t e " / > < / a : K e y V a l u e O f D i a g r a m O b j e c t K e y a n y T y p e z b w N T n L X > < a : K e y V a l u e O f D i a g r a m O b j e c t K e y a n y T y p e z b w N T n L X > < a : K e y > < K e y > C o l u m n s \ H e a t   p u m p   s u b s i d i e s < / K e y > < / a : K e y > < a : V a l u e   i : t y p e = " T a b l e W i d g e t B a s e V i e w S t a t e " / > < / a : K e y V a l u e O f D i a g r a m O b j e c t K e y a n y T y p e z b w N T n L X > < a : K e y V a l u e O f D i a g r a m O b j e c t K e y a n y T y p e z b w N T n L X > < a : K e y > < K e y > C o l u m n s \ S o c i a l   l e a s i n g   H P < / K e y > < / a : K e y > < a : V a l u e   i : t y p e = " T a b l e W i d g e t B a s e V i e w S t a t e " / > < / a : K e y V a l u e O f D i a g r a m O b j e c t K e y a n y T y p e z b w N T n L X > < a : K e y V a l u e O f D i a g r a m O b j e c t K e y a n y T y p e z b w N T n L X > < a : K e y > < K e y > C o l u m n s \ S p a l t e 1 < / K e y > < / a : K e y > < a : V a l u e   i : t y p e = " T a b l e W i d g e t B a s e V i e w S t a t e " / > < / a : K e y V a l u e O f D i a g r a m O b j e c t K e y a n y T y p e z b w N T n L X > < a : K e y V a l u e O f D i a g r a m O b j e c t K e y a n y T y p e z b w N T n L X > < a : K e y > < K e y > C o l u m n s \ S p a l t e 2 < / K e y > < / a : K e y > < a : V a l u e   i : t y p e = " T a b l e W i d g e t B a s e V i e w S t a t e " / > < / a : K e y V a l u e O f D i a g r a m O b j e c t K e y a n y T y p e z b w N T n L X > < a : K e y V a l u e O f D i a g r a m O b j e c t K e y a n y T y p e z b w N T n L X > < a : K e y > < K e y > C o l u m n s \ S p a l t e 3 < / K e y > < / a : K e y > < a : V a l u e   i : t y p e = " T a b l e W i d g e t B a s e V i e w S t a t e " / > < / a : K e y V a l u e O f D i a g r a m O b j e c t K e y a n y T y p e z b w N T n L X > < a : K e y V a l u e O f D i a g r a m O b j e c t K e y a n y T y p e z b w N T n L X > < a : K e y > < K e y > C o l u m n s \ S p a l t e 4 < / K e y > < / a : K e y > < a : V a l u e   i : t y p e = " T a b l e W i d g e t B a s e V i e w S t a t e " / > < / a : K e y V a l u e O f D i a g r a m O b j e c t K e y a n y T y p e z b w N T n L X > < a : K e y V a l u e O f D i a g r a m O b j e c t K e y a n y T y p e z b w N T n L X > < a : K e y > < K e y > C o l u m n s \ S p a l t e 5 < / K e y > < / a : K e y > < a : V a l u e   i : t y p e = " T a b l e W i d g e t B a s e V i e w S t a t e " / > < / a : K e y V a l u e O f D i a g r a m O b j e c t K e y a n y T y p e z b w N T n L X > < a : K e y V a l u e O f D i a g r a m O b j e c t K e y a n y T y p e z b w N T n L X > < a : K e y > < K e y > C o l u m n s \ S p a l t e 6 < / 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0.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 2 0 2 5 - 1 2 - 0 5 T 1 0 : 5 9 : 2 1 . 2 6 1 3 8 1 7 + 0 1 : 0 0 < / L a s t P r o c e s s e d T i m e > < / D a t a M o d e l i n g S a n d b o x . S e r i a l i z e d S a n d b o x E r r o r C a c h e > ] ] > < / C u s t o m C o n t e n t > < / G e m i n i > 
</file>

<file path=customXml/item11.xml>��< ? x m l   v e r s i o n = " 1 . 0 "   e n c o d i n g = " U T F - 1 6 " ? > < G e m i n i   x m l n s = " h t t p : / / g e m i n i / p i v o t c u s t o m i z a t i o n / S h o w I m p l i c i t M e a s u r e s " > < C u s t o m C o n t e n t > < ! [ C D A T A [ F a l s e ] ] > < / C u s t o m C o n t e n t > < / G e m i n i > 
</file>

<file path=customXml/item12.xml>��< ? x m l   v e r s i o n = " 1 . 0 "   e n c o d i n g = " U T F - 1 6 " ? > < G e m i n i   x m l n s = " h t t p : / / g e m i n i / p i v o t c u s t o m i z a t i o n / R e l a t i o n s h i p A u t o D e t e c t i o n E n a b l e d " > < C u s t o m C o n t e n t > < ! [ C D A T A [ T r u e ] ] > < / C u s t o m C o n t e n t > < / G e m i n i > 
</file>

<file path=customXml/item13.xml>��< ? x m l   v e r s i o n = " 1 . 0 "   e n c o d i n g = " U T F - 1 6 " ? > < G e m i n i   x m l n s = " h t t p : / / g e m i n i / p i v o t c u s t o m i z a t i o n / T a b l e X M L _ A p p e n d 2 " > < C u s t o m C o n t e n t > < ! [ C D A T A [ < T a b l e W i d g e t G r i d S e r i a l i z a t i o n   x m l n s : x s d = " h t t p : / / w w w . w 3 . o r g / 2 0 0 1 / X M L S c h e m a "   x m l n s : x s i = " h t t p : / / w w w . w 3 . o r g / 2 0 0 1 / X M L S c h e m a - i n s t a n c e " > < C o l u m n S u g g e s t e d T y p e   / > < C o l u m n F o r m a t   / > < C o l u m n A c c u r a c y   / > < C o l u m n C u r r e n c y S y m b o l   / > < C o l u m n P o s i t i v e P a t t e r n   / > < C o l u m n N e g a t i v e P a t t e r n   / > < C o l u m n W i d t h s > < i t e m > < k e y > < s t r i n g > C o u n t r y < / s t r i n g > < / k e y > < v a l u e > < i n t > 1 0 6 < / i n t > < / v a l u e > < / i t e m > < i t e m > < k e y > < s t r i n g > Y e a r < / s t r i n g > < / k e y > < v a l u e > < i n t > 8 0 < / i n t > < / v a l u e > < / i t e m > < i t e m > < k e y > < s t r i n g > S C F   r e v e n u e s < / s t r i n g > < / k e y > < v a l u e > < i n t > 1 6 2 < / i n t > < / v a l u e > < / i t e m > < i t e m > < k e y > < s t r i n g > E T S 2   a u c t i o n   r e v e n u e s   o u t i d e   S C F < / s t r i n g > < / k e y > < v a l u e > < i n t > 3 3 7 < / i n t > < / v a l u e > < / i t e m > < i t e m > < k e y > < s t r i n g > M i n .   o w n   c o n t r i b u t i o n   t o   e x p e n s e s   b y   M S   t o   S C F < / s t r i n g > < / k e y > < v a l u e > < i n t > 4 4 9 < / i n t > < / v a l u e > < / i t e m > < i t e m > < k e y > < s t r i n g > T o t a l   S C F   i n c l .   o w n   c o n t r i b u t i o n < / s t r i n g > < / k e y > < v a l u e > < i n t > 3 0 7 < / i n t > < / v a l u e > < / i t e m > < i t e m > < k e y > < s t r i n g > R e s t   o f   E T S 2   r e v e n u e s   a f t e r   o w n   c o n t r i b u t i o n < / s t r i n g > < / k e y > < v a l u e > < i n t > 4 1 8 < / i n t > < / v a l u e > < / i t e m > < i t e m > < k e y > < s t r i n g > T o t a l   E T S 2   +   S C F   r e v e n u e s < / s t r i n g > < / k e y > < v a l u e > < i n t > 2 7 6 < / i n t > < / v a l u e > < / i t e m > < i t e m > < k e y > < s t r i n g > M a x   d i r e c t   r e d i s t r i b u t i o n   i n   S C F < / s t r i n g > < / k e y > < v a l u e > < i n t > 3 0 2 < / i n t > < / v a l u e > < / i t e m > < i t e m > < k e y > < s t r i n g > T o t a l   S C F   i n c l .   o w n   c o n t r i b u t i o n   p e r   c a p i t a < / s t r i n g > < / k e y > < v a l u e > < i n t > 3 9 4 < / i n t > < / v a l u e > < / i t e m > < i t e m > < k e y > < s t r i n g > R e s t   o f   E T S 2   r e v e n u e s   a f t e r   o w n   c o n t r i b u t i o n   p e r   c a p i t a < / s t r i n g > < / k e y > < v a l u e > < i n t > 5 0 5 < / i n t > < / v a l u e > < / i t e m > < i t e m > < k e y > < s t r i n g > M a x i m u m   d i r e c t   r e d i s t r i b u t i o n   i n   S C F   p e r   c a p i t a < / s t r i n g > < / k e y > < v a l u e > < i n t > 4 3 6 < / i n t > < / v a l u e > < / i t e m > < i t e m > < k e y > < s t r i n g > M a x   r e d i s t r i b u t i o n   p e r   c a p i t a   -   l o w e r   i n c o m e   h o u s e h o l d s < / s t r i n g > < / k e y > < v a l u e > < i n t > 5 1 0 < / i n t > < / v a l u e > < / i t e m > < i t e m > < k e y > < s t r i n g > M a x   r e d i s t r i b u t i o n   t o   p o p   a t   r i s k   o f   p o v e r t y < / s t r i n g > < / k e y > < v a l u e > < i n t > 3 8 5 < / i n t > < / v a l u e > < / i t e m > < i t e m > < k e y > < s t r i n g > F r o n t l o a d i n g < / s t r i n g > < / k e y > < v a l u e > < i n t > 1 1 7 < / i n t > < / v a l u e > < / i t e m > < i t e m > < k e y > < s t r i n g > F r o n t l o a d i n g   p e r   c a p < / s t r i n g > < / k e y > < v a l u e > < i n t > 1 7 0 < / i n t > < / v a l u e > < / i t e m > < i t e m > < k e y > < s t r i n g > C l i m a t e   d i v i d e n d   p e r   c a p < / s t r i n g > < / k e y > < v a l u e > < i n t > 1 9 5 < / i n t > < / v a l u e > < / i t e m > < i t e m > < k e y > < s t r i n g > A l l   r e v e n u e s   P e r   c a p   l o w < / s t r i n g > < / k e y > < v a l u e > < i n t > 1 9 6 < / i n t > < / v a l u e > < / i t e m > < i t e m > < k e y > < s t r i n g > A l l   r e v e n u e s   p e r   c a p   p o v e r t y < / s t r i n g > < / k e y > < v a l u e > < i n t > 2 1 9 < / i n t > < / v a l u e > < / i t e m > < i t e m > < k e y > < s t r i n g > R e v e n u e < / s t r i n g > < / k e y > < v a l u e > < i n t > 9 3 < / i n t > < / v a l u e > < / i t e m > < i t e m > < k e y > < s t r i n g > C l i m a t e   d i v i d e n d < / s t r i n g > < / k e y > < v a l u e > < i n t > 1 4 2 < / i n t > < / v a l u e > < / i t e m > < i t e m > < k e y > < s t r i n g > S o c i a l E V < / s t r i n g > < / k e y > < v a l u e > < i n t > 9 5 < / i n t > < / v a l u e > < / i t e m > < i t e m > < k e y > < s t r i n g > H e a t   p u m p   s u b s i d i e s < / s t r i n g > < / k e y > < v a l u e > < i n t > 1 7 3 < / i n t > < / v a l u e > < / i t e m > < i t e m > < k e y > < s t r i n g > S o c i a l   l e a s i n g   H P < / s t r i n g > < / k e y > < v a l u e > < i n t > 1 5 1 < / i n t > < / v a l u e > < / i t e m > < i t e m > < k e y > < s t r i n g > S p a l t e 1 < / s t r i n g > < / k e y > < v a l u e > < i n t > 8 4 < / i n t > < / v a l u e > < / i t e m > < i t e m > < k e y > < s t r i n g > S p a l t e 2 < / s t r i n g > < / k e y > < v a l u e > < i n t > 8 4 < / i n t > < / v a l u e > < / i t e m > < i t e m > < k e y > < s t r i n g > S p a l t e 3 < / s t r i n g > < / k e y > < v a l u e > < i n t > 8 4 < / i n t > < / v a l u e > < / i t e m > < i t e m > < k e y > < s t r i n g > S p a l t e 4 < / s t r i n g > < / k e y > < v a l u e > < i n t > 8 4 < / i n t > < / v a l u e > < / i t e m > < i t e m > < k e y > < s t r i n g > S p a l t e 5 < / s t r i n g > < / k e y > < v a l u e > < i n t > 8 4 < / i n t > < / v a l u e > < / i t e m > < i t e m > < k e y > < s t r i n g > S p a l t e 6 < / s t r i n g > < / k e y > < v a l u e > < i n t > 8 4 < / i n t > < / v a l u e > < / i t e m > < / C o l u m n W i d t h s > < C o l u m n D i s p l a y I n d e x > < i t e m > < k e y > < s t r i n g > C o u n t r y < / s t r i n g > < / k e y > < v a l u e > < i n t > 0 < / i n t > < / v a l u e > < / i t e m > < i t e m > < k e y > < s t r i n g > Y e a r < / s t r i n g > < / k e y > < v a l u e > < i n t > 1 < / i n t > < / v a l u e > < / i t e m > < i t e m > < k e y > < s t r i n g > S C F   r e v e n u e s < / s t r i n g > < / k e y > < v a l u e > < i n t > 2 < / i n t > < / v a l u e > < / i t e m > < i t e m > < k e y > < s t r i n g > E T S 2   a u c t i o n   r e v e n u e s   o u t i d e   S C F < / s t r i n g > < / k e y > < v a l u e > < i n t > 3 < / i n t > < / v a l u e > < / i t e m > < i t e m > < k e y > < s t r i n g > M i n .   o w n   c o n t r i b u t i o n   t o   e x p e n s e s   b y   M S   t o   S C F < / s t r i n g > < / k e y > < v a l u e > < i n t > 4 < / i n t > < / v a l u e > < / i t e m > < i t e m > < k e y > < s t r i n g > T o t a l   S C F   i n c l .   o w n   c o n t r i b u t i o n < / s t r i n g > < / k e y > < v a l u e > < i n t > 5 < / i n t > < / v a l u e > < / i t e m > < i t e m > < k e y > < s t r i n g > R e s t   o f   E T S 2   r e v e n u e s   a f t e r   o w n   c o n t r i b u t i o n < / s t r i n g > < / k e y > < v a l u e > < i n t > 6 < / i n t > < / v a l u e > < / i t e m > < i t e m > < k e y > < s t r i n g > T o t a l   E T S 2   +   S C F   r e v e n u e s < / s t r i n g > < / k e y > < v a l u e > < i n t > 7 < / i n t > < / v a l u e > < / i t e m > < i t e m > < k e y > < s t r i n g > M a x   d i r e c t   r e d i s t r i b u t i o n   i n   S C F < / s t r i n g > < / k e y > < v a l u e > < i n t > 8 < / i n t > < / v a l u e > < / i t e m > < i t e m > < k e y > < s t r i n g > T o t a l   S C F   i n c l .   o w n   c o n t r i b u t i o n   p e r   c a p i t a < / s t r i n g > < / k e y > < v a l u e > < i n t > 9 < / i n t > < / v a l u e > < / i t e m > < i t e m > < k e y > < s t r i n g > R e s t   o f   E T S 2   r e v e n u e s   a f t e r   o w n   c o n t r i b u t i o n   p e r   c a p i t a < / s t r i n g > < / k e y > < v a l u e > < i n t > 1 0 < / i n t > < / v a l u e > < / i t e m > < i t e m > < k e y > < s t r i n g > M a x i m u m   d i r e c t   r e d i s t r i b u t i o n   i n   S C F   p e r   c a p i t a < / s t r i n g > < / k e y > < v a l u e > < i n t > 1 1 < / i n t > < / v a l u e > < / i t e m > < i t e m > < k e y > < s t r i n g > M a x   r e d i s t r i b u t i o n   p e r   c a p i t a   -   l o w e r   i n c o m e   h o u s e h o l d s < / s t r i n g > < / k e y > < v a l u e > < i n t > 1 2 < / i n t > < / v a l u e > < / i t e m > < i t e m > < k e y > < s t r i n g > M a x   r e d i s t r i b u t i o n   t o   p o p   a t   r i s k   o f   p o v e r t y < / s t r i n g > < / k e y > < v a l u e > < i n t > 1 3 < / i n t > < / v a l u e > < / i t e m > < i t e m > < k e y > < s t r i n g > F r o n t l o a d i n g < / s t r i n g > < / k e y > < v a l u e > < i n t > 1 4 < / i n t > < / v a l u e > < / i t e m > < i t e m > < k e y > < s t r i n g > F r o n t l o a d i n g   p e r   c a p < / s t r i n g > < / k e y > < v a l u e > < i n t > 1 5 < / i n t > < / v a l u e > < / i t e m > < i t e m > < k e y > < s t r i n g > C l i m a t e   d i v i d e n d   p e r   c a p < / s t r i n g > < / k e y > < v a l u e > < i n t > 1 6 < / i n t > < / v a l u e > < / i t e m > < i t e m > < k e y > < s t r i n g > A l l   r e v e n u e s   P e r   c a p   l o w < / s t r i n g > < / k e y > < v a l u e > < i n t > 1 7 < / i n t > < / v a l u e > < / i t e m > < i t e m > < k e y > < s t r i n g > A l l   r e v e n u e s   p e r   c a p   p o v e r t y < / s t r i n g > < / k e y > < v a l u e > < i n t > 1 8 < / i n t > < / v a l u e > < / i t e m > < i t e m > < k e y > < s t r i n g > R e v e n u e < / s t r i n g > < / k e y > < v a l u e > < i n t > 1 9 < / i n t > < / v a l u e > < / i t e m > < i t e m > < k e y > < s t r i n g > C l i m a t e   d i v i d e n d < / s t r i n g > < / k e y > < v a l u e > < i n t > 2 0 < / i n t > < / v a l u e > < / i t e m > < i t e m > < k e y > < s t r i n g > S o c i a l E V < / s t r i n g > < / k e y > < v a l u e > < i n t > 2 1 < / i n t > < / v a l u e > < / i t e m > < i t e m > < k e y > < s t r i n g > H e a t   p u m p   s u b s i d i e s < / s t r i n g > < / k e y > < v a l u e > < i n t > 2 2 < / i n t > < / v a l u e > < / i t e m > < i t e m > < k e y > < s t r i n g > S o c i a l   l e a s i n g   H P < / s t r i n g > < / k e y > < v a l u e > < i n t > 2 3 < / i n t > < / v a l u e > < / i t e m > < i t e m > < k e y > < s t r i n g > S p a l t e 1 < / s t r i n g > < / k e y > < v a l u e > < i n t > 2 4 < / i n t > < / v a l u e > < / i t e m > < i t e m > < k e y > < s t r i n g > S p a l t e 2 < / s t r i n g > < / k e y > < v a l u e > < i n t > 2 5 < / i n t > < / v a l u e > < / i t e m > < i t e m > < k e y > < s t r i n g > S p a l t e 3 < / s t r i n g > < / k e y > < v a l u e > < i n t > 2 6 < / i n t > < / v a l u e > < / i t e m > < i t e m > < k e y > < s t r i n g > S p a l t e 4 < / s t r i n g > < / k e y > < v a l u e > < i n t > 2 7 < / i n t > < / v a l u e > < / i t e m > < i t e m > < k e y > < s t r i n g > S p a l t e 5 < / s t r i n g > < / k e y > < v a l u e > < i n t > 2 8 < / i n t > < / v a l u e > < / i t e m > < i t e m > < k e y > < s t r i n g > S p a l t e 6 < / s t r i n g > < / k e y > < v a l u e > < i n t > 2 9 < / i n t > < / v a l u e > < / i t e m > < / C o l u m n D i s p l a y I n d e x > < C o l u m n F r o z e n   / > < C o l u m n C h e c k e d   / > < C o l u m n F i l t e r   / > < S e l e c t i o n F i l t e r   / > < F i l t e r P a r a m e t e r s   / > < I s S o r t D e s c e n d i n g > f a l s e < / I s S o r t D e s c e n d i n g > < / T a b l e W i d g e t G r i d S e r i a l i z a t i o n > ] ] > < / C u s t o m C o n t e n t > < / G e m i n i > 
</file>

<file path=customXml/item14.xml>��< ? x m l   v e r s i o n = " 1 . 0 "   e n c o d i n g = " U T F - 1 6 " ? > < G e m i n i   x m l n s = " h t t p : / / g e m i n i / p i v o t c u s t o m i z a t i o n / S h o w H i d d e n " > < C u s t o m C o n t e n t > < ! [ C D A T A [ T r u e ] ] > < / C u s t o m C o n t e n t > < / G e m i n i > 
</file>

<file path=customXml/item15.xml>��< ? x m l   v e r s i o n = " 1 . 0 "   e n c o d i n g = " U T F - 1 6 " ? > < G e m i n i   x m l n s = " h t t p : / / g e m i n i / p i v o t c u s t o m i z a t i o n / C l i e n t W i n d o w X M L " > < C u s t o m C o n t e n t > < ! [ C D A T A [ A p p e n d 2 ] ] > < / C u s t o m C o n t e n t > < / G e m i n i > 
</file>

<file path=customXml/item16.xml>��< ? x m l   v e r s i o n = " 1 . 0 "   e n c o d i n g = " U T F - 1 6 " ? > < G e m i n i   x m l n s = " h t t p : / / g e m i n i / p i v o t c u s t o m i z a t i o n / F o r m u l a B a r S t a t e " > < C u s t o m C o n t e n t > < ! [ C D A T A [ < S a n d b o x E d i t o r . F o r m u l a B a r S t a t e   x m l n s = " h t t p : / / s c h e m a s . d a t a c o n t r a c t . o r g / 2 0 0 4 / 0 7 / M i c r o s o f t . A n a l y s i s S e r v i c e s . C o m m o n "   x m l n s : i = " h t t p : / / w w w . w 3 . o r g / 2 0 0 1 / X M L S c h e m a - i n s t a n c e " > < H e i g h t > 2 5 < / H e i g h t > < / S a n d b o x E d i t o r . F o r m u l a B a r S t a t e > ] ] > < / C u s t o m C o n t e n t > < / G e m i n i > 
</file>

<file path=customXml/item17.xml>��< ? x m l   v e r s i o n = " 1 . 0 "   e n c o d i n g = " U T F - 1 6 " ? > < G e m i n i   x m l n s = " h t t p : / / g e m i n i / p i v o t c u s t o m i z a t i o n / P o w e r P i v o t V e r s i o n " > < C u s t o m C o n t e n t > < ! [ C D A T A [ 2 0 1 5 . 1 3 0 . 1 6 0 6 . 4 6 ] ] > < / C u s t o m C o n t e n t > < / G e m i n i > 
</file>

<file path=customXml/item2.xml>��< ? x m l   v e r s i o n = " 1 . 0 "   e n c o d i n g = " u t f - 1 6 " ? > < D a t a M a s h u p   s q m i d = " 2 9 2 1 9 6 a 7 - 6 b 7 a - 4 d 3 5 - a d a 4 - 0 9 5 8 7 8 1 2 f 3 c f "   x m l n s = " h t t p : / / s c h e m a s . m i c r o s o f t . c o m / D a t a M a s h u p " > A A A A A P I H A A B Q S w M E F A A C A A g A G 1 6 Q W 0 p z n q e l A A A A 9 g A A A B I A H A B D b 2 5 m a W c v U G F j a 2 F n Z S 5 4 b W w g o h g A K K A U A A A A A A A A A A A A A A A A A A A A A A A A A A A A h Y + x D o I w F E V / h X S n h e p A y K M k O r h I Y m J i X J t a o R E e h h b L v z n 4 S f 6 C G E X d H O + 5 Z 7 j 3 f r 1 B P j R 1 c N G d N S 1 m J K Y R C T S q 9 m C w z E j v j m F C c g E b q U 6 y 1 M E o o 0 0 H e 8 h I 5 d w 5 Z c x 7 T / 2 M t l 3 J e B T F b F + s t 6 r S j S Q f 2 f y X Q 4 P W S V S a C N i 9 x g h O 4 3 l C e T R u A j Z B K A x + B T 5 2 z / Y H w r K v X d 9 p o T F c L Y B N E d j 7 g 3 g A U E s D B B Q A A g A I A B t e k F s 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b X p B b z z I 3 I O s E A A A 3 R Q A A E w A c A E Z v c m 1 1 b G F z L 1 N l Y 3 R p b 2 4 x L m 0 g o h g A K K A U A A A A A A A A A A A A A A A A A A A A A A A A A A A A 7 Z v d T 9 s 6 F M D f k f g f r O y F i Y D W l P G h q z 2 g D j S k s T H a 7 e o K 8 e C 2 Z s 1 I 7 c h x g K r i f 5 / z 4 e b L L X G S 9 r Z g X q D H z b F j / 3 x 8 z v H B Q w N m E w y 6 0 e / W P 9 t b 2 1 v e C F I 0 B O + M s 1 7 X A t C P v k L R A 8 I + 8 g D x m T 1 E o N s 5 N 8 A n 4 C C 2 v Q X 4 T 5 f 4 d I C 4 5 O x p g J z 9 j k 8 p w u x f Q u / 7 h N z v v J / e f I N j 9 M n o w b 6 D P h q 3 z z c d g h n / y q 0 Z K X h n d E Y Q / + Y 9 9 y Y u C n S H X 9 3 v U Y i 9 O 0 L H H e L 4 Y x w 0 e j t R b + Z 0 a k T S l m E C x l s A Q 0 / s 2 Q R T w / p g H Q o h x B M h O x I y 7 I / 7 i A r x s V x 8 I h W 3 P 8 j F L b n Y k u s + 2 p O 0 P b + f z c Z P 7 N o P h P H 5 i F 7 R S 6 Y k b v r O R o j G j T u 5 6 Q s 6 E V P D e z R O G a N 2 3 2 d B i / E L O j 4 y k q 6 u E e Z r I + k o a k i 6 K I 4 p W I J I H d f 7 I j D h u 2 e G 8 h + C N B I n C 8 n / 9 D G j E 4 N P x / a W j e c N M 0 v r p Y 0 B e c R g w L E K 9 Q e D Y A S g J x d h j 4 + j P w G X 3 U B S C 9 2 j 1 a K b Y 2 Z t 6 D 2 U 0 f t 6 y e Z w 7 S v Q t U z O e 4 R B J + g F 2 H j g F A Z V n e w T T f b b I V t G 4 Q J o Z x s h S 1 9 x T 6 i x f I 0 8 B s g d C A + O 2 Y E B 7 x i i D Y L d a m l 3 Q 6 O r B l s F k x z q 3 Q 3 3 h t B e g 9 m 2 t s b a G p e z x j L w 1 F x n + A S G N u V B I F c w t L 3 E w + E + d S 1 v u b X i S E 9 j v I k Y v 8 h f k w 4 y c L m 9 H 0 D X Z r A G 1 z o M 1 F z X d p b T K C 7 N b 2 6 G 9 x U H h 9 q F X k u g q 3 K n 6 o 3 Y Y 3 8 M P l 9 0 Y / v f C M L W i q N A b b I 3 k X A B 3 y J 3 p D L Z A d H J s 2 A P O O S R f + S H A x k j Q L A z q Y G 3 D h g 1 3 q U 8 7 R z T 8 4 E c E d 9 D I + I M K 4 S T A e q M A J e 4 A P J t Z H v 3 w b n h k g d E W R 3 K d T y p K a 9 C + X w W l d B u J r l n N Q f x z a X t O M E L n v 2 8 B n z x 2 7 e a Z 2 W e J Z O 4 b L S l 6 6 Z G e d V 8 3 z n l 5 D k E D m 3 8 u 0 Z i 7 2 A t L H E q U D y W y E 6 K s g T Y l K w l k V k S f V l O 0 1 F q o W E j L e 4 M r j Q k S 7 3 O z t D Y T J y 3 H r k 5 T e b y y R T A L L e w K H Z n R V 8 1 y F z 1 T f R m H P e v D 9 a q j m s a M 8 W E c O g H i I e j S C 6 O 4 + r k F P Q 1 9 N s A V s F 0 Z o A 9 d Z w k D 3 w V w 8 f R q 0 t v A 4 k C f f X 8 N t C t a m s z 6 A r y K i Q F T l 0 X 4 a E l J T V 6 j w 4 Z 9 2 2 M d q a 5 / I F Z p s b e V C 5 t N k s U i Z q q x X e J U l m 1 i V m m i K T E u N I B g O o Q 8 8 8 u v k Y y y 6 X j T V A m n W n m 4 p i C o P h e 8 w y e v D V 1 m J s S j 3 Q 2 s / G T 0 d u F a 3 E R P t X 1 X Z d Q F s q 7 Z G B D 5 y u C H h / Y 2 a + i 7 M u V 8 Z z e n Y Q O E Z X v z 7 B J b F B h L m f b U O y 7 f K 6 i z H 8 K q N d c l y l O V a 0 C X F h i V a Z w R b E I o M Y V a 4 W 7 q x r 3 A a p J 1 n x G Y V 4 c l / O B F 3 k Y L 5 r w h O H I R H O E f / i I T g y Z Y S 5 i L u x P s B C 7 5 1 9 3 v z / i + T p b U q W 5 f m O b w w c a z e 8 e H P 7 x P X 6 e G d n T J q 8 6 f d q k t 3 m t Q N R q W 4 3 m S c S W 1 w 5 S e Q d p 5 q 3 8 H 7 5 9 q q g j O j Q U f B 7 J 2 V I T R o 2 i R h H E P g u I w A L C a 1 E A M + f c 1 L W Q j Y a Q G s t N x T K i i v v K V U n 8 c l W R R O Q 4 6 J g v u c a Q i 9 t c f I H Z 4 c F + 8 F Z C e i C V f s x K X z G W M W I g C N t U a 4 j T v m 2 d q + B V l w e v K a E 6 1 z a H 1 I C z g L d Z H K V Y N S k J m e o e 7 Y 3 e x G 2 s T V U o v H m 1 p z v n a y 9 D 1 4 t 4 / g V Q S w E C L Q A U A A I A C A A b X p B b S n O e p 6 U A A A D 2 A A A A E g A A A A A A A A A A A A A A A A A A A A A A Q 2 9 u Z m l n L 1 B h Y 2 t h Z 2 U u e G 1 s U E s B A i 0 A F A A C A A g A G 1 6 Q W w / K 6 a u k A A A A 6 Q A A A B M A A A A A A A A A A A A A A A A A 8 Q A A A F t D b 2 5 0 Z W 5 0 X 1 R 5 c G V z X S 5 4 b W x Q S w E C L Q A U A A I A C A A b X p B b z z I 3 I O s E A A A 3 R Q A A E w A A A A A A A A A A A A A A A A D i A Q A A R m 9 y b X V s Y X M v U 2 V j d G l v b j E u b V B L B Q Y A A A A A A w A D A M I A A A A a B 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7 E Q E A A A A A A N k R A Q 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F V F M y J T I w Y X V j d G l v b i U y M H J l d m V u d W V z J T I w b 3 V 0 a W R l J T I w U 0 N G P C 9 J d G V t U G F 0 a D 4 8 L 0 l 0 Z W 1 M b 2 N h d G l v b j 4 8 U 3 R h Y m x l R W 5 0 c m l l c z 4 8 R W 5 0 c n k g V H l w Z T 0 i S X N Q c m l 2 Y X R l I i B W Y W x 1 Z T 0 i b D A i I C 8 + P E V u d H J 5 I F R 5 c G U 9 I l F 1 Z X J 5 S U Q i I F Z h b H V l P S J z M j E 1 O W N l O D Q t O D A 0 M i 0 0 Z W R l L W F k Z j k t M z V k N D B i Y j Y y Z m F l I i A v P j x F b n R y e S B U e X B l P S J G a W x 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w I i A v P j x F b n R y e S B U e X B l P S J G a W x s V G 9 E Y X R h T W 9 k Z W x F b m F i b G V k I i B W Y W x 1 Z T 0 i b D A i I C 8 + P E V u d H J 5 I F R 5 c G U 9 I k Z p b G x P Y m p l Y 3 R U e X B l I i B W Y W x 1 Z T 0 i c 0 N v b m 5 l Y 3 R p b 2 5 P b m x 5 I i A v P j x F b n R y e S B U e X B l P S J G a W x s R X J y b 3 J D b 2 R l I i B W Y W x 1 Z T 0 i c 1 V u a 2 5 v d 2 4 i I C 8 + P E V u d H J 5 I F R 5 c G U 9 I k F k Z G V k V G 9 E Y X R h T W 9 k Z W w i I F Z h b H V l P S J s M C I g L z 4 8 R W 5 0 c n k g V H l w Z T 0 i R m l s b E x h c 3 R V c G R h d G V k I i B W Y W x 1 Z T 0 i Z D I w M j U t M T I t M T Z U M T A 6 N D g 6 N T U u M z A w M D E 1 N l o i I C 8 + P E V u d H J 5 I F R 5 c G U 9 I k Z p b G x D b 2 x 1 b W 5 U e X B l c y I g V m F s d W U 9 I n N C Z 1 l B Q l F V R k J R Q U Z C U V V B Q l F V P S I g L z 4 8 R W 5 0 c n k g V H l w Z T 0 i R m l s b E N v b H V t b k 5 h b W V z I i B W Y W x 1 Z T 0 i c 1 s m c X V v d D t D b 3 V u d H J 5 J n F 1 b 3 Q 7 L C Z x d W 9 0 O 1 l l Y X I m c X V v d D s s J n F 1 b 3 Q 7 R V R T M i B h d W N 0 a W 9 u I H J l d m V u d W V z I G 9 1 d G l k Z S B T Q 0 Y m c X V v d D s s J n F 1 b 3 Q 7 U 0 N G I H J l d m V u d W V z J n F 1 b 3 Q 7 L C Z x d W 9 0 O 0 1 h e C B y Z W R p c 3 R y a W J 1 d G l v b i B 0 b y B w b 3 A g Y X Q g c m l z a y B v Z i B w b 3 Z l c n R 5 J n F 1 b 3 Q 7 L C Z x d W 9 0 O 0 1 h e C B y Z W R p c 3 R y a W J 1 d G l v b i B w Z X I g Y 2 F w a X R h I C 0 g b G 9 3 Z X I g a W 5 j b 2 1 l I G h v d X N l a G 9 s Z H M m c X V v d D s s J n F 1 b 3 Q 7 T W F 4 a W 1 1 b S B k a X J l Y 3 Q g c m V k a X N 0 c m l i d X R p b 2 4 g a W 4 g U 0 N G I H B l c i B j Y X B p d G E m c X V v d D s s J n F 1 b 3 Q 7 U m V z d C B v Z i B F V F M y I H J l d m V u d W V z I G F m d G V y I G 9 3 b i B j b 2 5 0 c m l i d X R p b 2 4 g c G V y I G N h c G l 0 Y S Z x d W 9 0 O y w m c X V v d D t U b 3 R h b C B T Q 0 Y g a W 5 j b C 4 g b 3 d u I G N v b n R y a W J 1 d G l v b i B w Z X I g Y 2 F w a X R h J n F 1 b 3 Q 7 L C Z x d W 9 0 O 0 1 h e C B k a X J l Y 3 Q g c m V k a X N 0 c m l i d X R p b 2 4 g a W 4 g U 0 N G J n F 1 b 3 Q 7 L C Z x d W 9 0 O 1 R v d G F s I E V U U z I g K y B T Q 0 Y g c m V 2 Z W 5 1 Z X M m c X V v d D s s J n F 1 b 3 Q 7 U m V z d C B v Z i B F V F M y I H J l d m V u d W V z I G F m d G V y I G 9 3 b i B j b 2 5 0 c m l i d X R p b 2 4 m c X V v d D s s J n F 1 b 3 Q 7 V G 9 0 Y W w g U 0 N G I G l u Y 2 w u I G 9 3 b i B j b 2 5 0 c m l i d X R p b 2 4 m c X V v d D s s J n F 1 b 3 Q 7 T W l u L i B v d 2 4 g Y 2 9 u d H J p Y n V 0 a W 9 u I H R v I G V 4 c G V u c 2 V z I G J 5 I E 1 T I H R v I F N D R i Z x d W 9 0 O 1 0 i I C 8 + P E V u d H J 5 I F R 5 c G U 9 I k Z p b G x T d G F 0 d X M i I F Z h b H V l P S J z Q 2 9 t c G x l d G U i I C 8 + P E V u d H J 5 I F R 5 c G U 9 I l J l b G F 0 a W 9 u c 2 h p c E l u Z m 9 D b 2 5 0 Y W l u Z X I i I F Z h b H V l P S J z e y Z x d W 9 0 O 2 N v b H V t b k N v d W 5 0 J n F 1 b 3 Q 7 O j E 0 L C Z x d W 9 0 O 2 t l e U N v b H V t b k 5 h b W V z J n F 1 b 3 Q 7 O l t d L C Z x d W 9 0 O 3 F 1 Z X J 5 U m V s Y X R p b 2 5 z a G l w c y Z x d W 9 0 O z p b X S w m c X V v d D t j b 2 x 1 b W 5 J Z G V u d G l 0 a W V z J n F 1 b 3 Q 7 O l s m c X V v d D t T Z W N 0 a W 9 u M S 9 F V F M y I G F 1 Y 3 R p b 2 4 g c m V 2 Z W 5 1 Z X M g b 3 V 0 a W R l I F N D R i 9 B d X R v U m V t b 3 Z l Z E N v b H V t b n M x L n t D b 3 V u d H J 5 L D B 9 J n F 1 b 3 Q 7 L C Z x d W 9 0 O 1 N l Y 3 R p b 2 4 x L 0 V U U z I g Y X V j d G l v b i B y Z X Z l b n V l c y B v d X R p Z G U g U 0 N G L 0 F 1 d G 9 S Z W 1 v d m V k Q 2 9 s d W 1 u c z E u e 1 l l Y X I s M X 0 m c X V v d D s s J n F 1 b 3 Q 7 U 2 V j d G l v b j E v R V R T M i B h d W N 0 a W 9 u I H J l d m V u d W V z I G 9 1 d G l k Z S B T Q 0 Y v Q X V 0 b 1 J l b W 9 2 Z W R D b 2 x 1 b W 5 z M S 5 7 R V R T M i B h d W N 0 a W 9 u I H J l d m V u d W V z I G 9 1 d G l k Z S B T Q 0 Y s M n 0 m c X V v d D s s J n F 1 b 3 Q 7 U 2 V j d G l v b j E v R V R T M i B h d W N 0 a W 9 u I H J l d m V u d W V z I G 9 1 d G l k Z S B T Q 0 Y v Q X V 0 b 1 J l b W 9 2 Z W R D b 2 x 1 b W 5 z M S 5 7 U 0 N G I H J l d m V u d W V z L D N 9 J n F 1 b 3 Q 7 L C Z x d W 9 0 O 1 N l Y 3 R p b 2 4 x L 0 V U U z I g Y X V j d G l v b i B y Z X Z l b n V l c y B v d X R p Z G U g U 0 N G L 0 F 1 d G 9 S Z W 1 v d m V k Q 2 9 s d W 1 u c z E u e 0 1 h e C B y Z W R p c 3 R y a W J 1 d G l v b i B 0 b y B w b 3 A g Y X Q g c m l z a y B v Z i B w b 3 Z l c n R 5 L D R 9 J n F 1 b 3 Q 7 L C Z x d W 9 0 O 1 N l Y 3 R p b 2 4 x L 0 V U U z I g Y X V j d G l v b i B y Z X Z l b n V l c y B v d X R p Z G U g U 0 N G L 0 F 1 d G 9 S Z W 1 v d m V k Q 2 9 s d W 1 u c z E u e 0 1 h e C B y Z W R p c 3 R y a W J 1 d G l v b i B w Z X I g Y 2 F w a X R h I C 0 g b G 9 3 Z X I g a W 5 j b 2 1 l I G h v d X N l a G 9 s Z H M s N X 0 m c X V v d D s s J n F 1 b 3 Q 7 U 2 V j d G l v b j E v R V R T M i B h d W N 0 a W 9 u I H J l d m V u d W V z I G 9 1 d G l k Z S B T Q 0 Y v Q X V 0 b 1 J l b W 9 2 Z W R D b 2 x 1 b W 5 z M S 5 7 T W F 4 a W 1 1 b S B k a X J l Y 3 Q g c m V k a X N 0 c m l i d X R p b 2 4 g a W 4 g U 0 N G I H B l c i B j Y X B p d G E s N n 0 m c X V v d D s s J n F 1 b 3 Q 7 U 2 V j d G l v b j E v R V R T M i B h d W N 0 a W 9 u I H J l d m V u d W V z I G 9 1 d G l k Z S B T Q 0 Y v Q X V 0 b 1 J l b W 9 2 Z W R D b 2 x 1 b W 5 z M S 5 7 U m V z d C B v Z i B F V F M y I H J l d m V u d W V z I G F m d G V y I G 9 3 b i B j b 2 5 0 c m l i d X R p b 2 4 g c G V y I G N h c G l 0 Y S w 3 f S Z x d W 9 0 O y w m c X V v d D t T Z W N 0 a W 9 u M S 9 F V F M y I G F 1 Y 3 R p b 2 4 g c m V 2 Z W 5 1 Z X M g b 3 V 0 a W R l I F N D R i 9 B d X R v U m V t b 3 Z l Z E N v b H V t b n M x L n t U b 3 R h b C B T Q 0 Y g a W 5 j b C 4 g b 3 d u I G N v b n R y a W J 1 d G l v b i B w Z X I g Y 2 F w a X R h L D h 9 J n F 1 b 3 Q 7 L C Z x d W 9 0 O 1 N l Y 3 R p b 2 4 x L 0 V U U z I g Y X V j d G l v b i B y Z X Z l b n V l c y B v d X R p Z G U g U 0 N G L 0 F 1 d G 9 S Z W 1 v d m V k Q 2 9 s d W 1 u c z E u e 0 1 h e C B k a X J l Y 3 Q g c m V k a X N 0 c m l i d X R p b 2 4 g a W 4 g U 0 N G L D l 9 J n F 1 b 3 Q 7 L C Z x d W 9 0 O 1 N l Y 3 R p b 2 4 x L 0 V U U z I g Y X V j d G l v b i B y Z X Z l b n V l c y B v d X R p Z G U g U 0 N G L 0 F 1 d G 9 S Z W 1 v d m V k Q 2 9 s d W 1 u c z E u e 1 R v d G F s I E V U U z I g K y B T Q 0 Y g c m V 2 Z W 5 1 Z X M s M T B 9 J n F 1 b 3 Q 7 L C Z x d W 9 0 O 1 N l Y 3 R p b 2 4 x L 0 V U U z I g Y X V j d G l v b i B y Z X Z l b n V l c y B v d X R p Z G U g U 0 N G L 0 F 1 d G 9 S Z W 1 v d m V k Q 2 9 s d W 1 u c z E u e 1 J l c 3 Q g b 2 Y g R V R T M i B y Z X Z l b n V l c y B h Z n R l c i B v d 2 4 g Y 2 9 u d H J p Y n V 0 a W 9 u L D E x f S Z x d W 9 0 O y w m c X V v d D t T Z W N 0 a W 9 u M S 9 F V F M y I G F 1 Y 3 R p b 2 4 g c m V 2 Z W 5 1 Z X M g b 3 V 0 a W R l I F N D R i 9 B d X R v U m V t b 3 Z l Z E N v b H V t b n M x L n t U b 3 R h b C B T Q 0 Y g a W 5 j b C 4 g b 3 d u I G N v b n R y a W J 1 d G l v b i w x M n 0 m c X V v d D s s J n F 1 b 3 Q 7 U 2 V j d G l v b j E v R V R T M i B h d W N 0 a W 9 u I H J l d m V u d W V z I G 9 1 d G l k Z S B T Q 0 Y v Q X V 0 b 1 J l b W 9 2 Z W R D b 2 x 1 b W 5 z M S 5 7 T W l u L i B v d 2 4 g Y 2 9 u d H J p Y n V 0 a W 9 u I H R v I G V 4 c G V u c 2 V z I G J 5 I E 1 T I H R v I F N D R i w x M 3 0 m c X V v d D t d L C Z x d W 9 0 O 0 N v b H V t b k N v d W 5 0 J n F 1 b 3 Q 7 O j E 0 L C Z x d W 9 0 O 0 t l e U N v b H V t b k 5 h b W V z J n F 1 b 3 Q 7 O l t d L C Z x d W 9 0 O 0 N v b H V t b k l k Z W 5 0 a X R p Z X M m c X V v d D s 6 W y Z x d W 9 0 O 1 N l Y 3 R p b 2 4 x L 0 V U U z I g Y X V j d G l v b i B y Z X Z l b n V l c y B v d X R p Z G U g U 0 N G L 0 F 1 d G 9 S Z W 1 v d m V k Q 2 9 s d W 1 u c z E u e 0 N v d W 5 0 c n k s M H 0 m c X V v d D s s J n F 1 b 3 Q 7 U 2 V j d G l v b j E v R V R T M i B h d W N 0 a W 9 u I H J l d m V u d W V z I G 9 1 d G l k Z S B T Q 0 Y v Q X V 0 b 1 J l b W 9 2 Z W R D b 2 x 1 b W 5 z M S 5 7 W W V h c i w x f S Z x d W 9 0 O y w m c X V v d D t T Z W N 0 a W 9 u M S 9 F V F M y I G F 1 Y 3 R p b 2 4 g c m V 2 Z W 5 1 Z X M g b 3 V 0 a W R l I F N D R i 9 B d X R v U m V t b 3 Z l Z E N v b H V t b n M x L n t F V F M y I G F 1 Y 3 R p b 2 4 g c m V 2 Z W 5 1 Z X M g b 3 V 0 a W R l I F N D R i w y f S Z x d W 9 0 O y w m c X V v d D t T Z W N 0 a W 9 u M S 9 F V F M y I G F 1 Y 3 R p b 2 4 g c m V 2 Z W 5 1 Z X M g b 3 V 0 a W R l I F N D R i 9 B d X R v U m V t b 3 Z l Z E N v b H V t b n M x L n t T Q 0 Y g c m V 2 Z W 5 1 Z X M s M 3 0 m c X V v d D s s J n F 1 b 3 Q 7 U 2 V j d G l v b j E v R V R T M i B h d W N 0 a W 9 u I H J l d m V u d W V z I G 9 1 d G l k Z S B T Q 0 Y v Q X V 0 b 1 J l b W 9 2 Z W R D b 2 x 1 b W 5 z M S 5 7 T W F 4 I H J l Z G l z d H J p Y n V 0 a W 9 u I H R v I H B v c C B h d C B y a X N r I G 9 m I H B v d m V y d H k s N H 0 m c X V v d D s s J n F 1 b 3 Q 7 U 2 V j d G l v b j E v R V R T M i B h d W N 0 a W 9 u I H J l d m V u d W V z I G 9 1 d G l k Z S B T Q 0 Y v Q X V 0 b 1 J l b W 9 2 Z W R D b 2 x 1 b W 5 z M S 5 7 T W F 4 I H J l Z G l z d H J p Y n V 0 a W 9 u I H B l c i B j Y X B p d G E g L S B s b 3 d l c i B p b m N v b W U g a G 9 1 c 2 V o b 2 x k c y w 1 f S Z x d W 9 0 O y w m c X V v d D t T Z W N 0 a W 9 u M S 9 F V F M y I G F 1 Y 3 R p b 2 4 g c m V 2 Z W 5 1 Z X M g b 3 V 0 a W R l I F N D R i 9 B d X R v U m V t b 3 Z l Z E N v b H V t b n M x L n t N Y X h p b X V t I G R p c m V j d C B y Z W R p c 3 R y a W J 1 d G l v b i B p b i B T Q 0 Y g c G V y I G N h c G l 0 Y S w 2 f S Z x d W 9 0 O y w m c X V v d D t T Z W N 0 a W 9 u M S 9 F V F M y I G F 1 Y 3 R p b 2 4 g c m V 2 Z W 5 1 Z X M g b 3 V 0 a W R l I F N D R i 9 B d X R v U m V t b 3 Z l Z E N v b H V t b n M x L n t S Z X N 0 I G 9 m I E V U U z I g c m V 2 Z W 5 1 Z X M g Y W Z 0 Z X I g b 3 d u I G N v b n R y a W J 1 d G l v b i B w Z X I g Y 2 F w a X R h L D d 9 J n F 1 b 3 Q 7 L C Z x d W 9 0 O 1 N l Y 3 R p b 2 4 x L 0 V U U z I g Y X V j d G l v b i B y Z X Z l b n V l c y B v d X R p Z G U g U 0 N G L 0 F 1 d G 9 S Z W 1 v d m V k Q 2 9 s d W 1 u c z E u e 1 R v d G F s I F N D R i B p b m N s L i B v d 2 4 g Y 2 9 u d H J p Y n V 0 a W 9 u I H B l c i B j Y X B p d G E s O H 0 m c X V v d D s s J n F 1 b 3 Q 7 U 2 V j d G l v b j E v R V R T M i B h d W N 0 a W 9 u I H J l d m V u d W V z I G 9 1 d G l k Z S B T Q 0 Y v Q X V 0 b 1 J l b W 9 2 Z W R D b 2 x 1 b W 5 z M S 5 7 T W F 4 I G R p c m V j d C B y Z W R p c 3 R y a W J 1 d G l v b i B p b i B T Q 0 Y s O X 0 m c X V v d D s s J n F 1 b 3 Q 7 U 2 V j d G l v b j E v R V R T M i B h d W N 0 a W 9 u I H J l d m V u d W V z I G 9 1 d G l k Z S B T Q 0 Y v Q X V 0 b 1 J l b W 9 2 Z W R D b 2 x 1 b W 5 z M S 5 7 V G 9 0 Y W w g R V R T M i A r I F N D R i B y Z X Z l b n V l c y w x M H 0 m c X V v d D s s J n F 1 b 3 Q 7 U 2 V j d G l v b j E v R V R T M i B h d W N 0 a W 9 u I H J l d m V u d W V z I G 9 1 d G l k Z S B T Q 0 Y v Q X V 0 b 1 J l b W 9 2 Z W R D b 2 x 1 b W 5 z M S 5 7 U m V z d C B v Z i B F V F M y I H J l d m V u d W V z I G F m d G V y I G 9 3 b i B j b 2 5 0 c m l i d X R p b 2 4 s M T F 9 J n F 1 b 3 Q 7 L C Z x d W 9 0 O 1 N l Y 3 R p b 2 4 x L 0 V U U z I g Y X V j d G l v b i B y Z X Z l b n V l c y B v d X R p Z G U g U 0 N G L 0 F 1 d G 9 S Z W 1 v d m V k Q 2 9 s d W 1 u c z E u e 1 R v d G F s I F N D R i B p b m N s L i B v d 2 4 g Y 2 9 u d H J p Y n V 0 a W 9 u L D E y f S Z x d W 9 0 O y w m c X V v d D t T Z W N 0 a W 9 u M S 9 F V F M y I G F 1 Y 3 R p b 2 4 g c m V 2 Z W 5 1 Z X M g b 3 V 0 a W R l I F N D R i 9 B d X R v U m V t b 3 Z l Z E N v b H V t b n M x L n t N a W 4 u I G 9 3 b i B j b 2 5 0 c m l i d X R p b 2 4 g d G 8 g Z X h w Z W 5 z Z X M g Y n k g T V M g d G 8 g U 0 N G L D E z f S Z x d W 9 0 O 1 0 s J n F 1 b 3 Q 7 U m V s Y X R p b 2 5 z a G l w S W 5 m b y Z x d W 9 0 O z p b X X 0 i I C 8 + P C 9 T d G F i b G V F b n R y a W V z P j w v S X R l b T 4 8 S X R l b T 4 8 S X R l b U x v Y 2 F 0 a W 9 u P j x J d G V t V H l w Z T 5 G b 3 J t d W x h P C 9 J d G V t V H l w Z T 4 8 S X R l b V B h d G g + U 2 V j d G l v b j E v R V R T M i U y M G F 1 Y 3 R p b 2 4 l M j B y Z X Z l b n V l c y U y M G 9 1 d G l k Z S U y M F N D R i 9 T b 3 V y Y 2 U 8 L 0 l 0 Z W 1 Q Y X R o P j w v S X R l b U x v Y 2 F 0 a W 9 u P j x T d G F i b G V F b n R y a W V z I C 8 + P C 9 J d G V t P j x J d G V t P j x J d G V t T G 9 j Y X R p b 2 4 + P E l 0 Z W 1 U e X B l P k Z v c m 1 1 b G E 8 L 0 l 0 Z W 1 U e X B l P j x J d G V t U G F 0 a D 5 T Z W N 0 a W 9 u M S 9 F V F M y J T I w Y X V j d G l v b i U y M H J l d m V u d W V z J T I w b 3 V 0 a W R l J T I w U 0 N G L 0 N o Y W 5 n Z W Q l M j B U e X B l P C 9 J d G V t U G F 0 a D 4 8 L 0 l 0 Z W 1 M b 2 N h d G l v b j 4 8 U 3 R h Y m x l R W 5 0 c m l l c y A v P j w v S X R l b T 4 8 S X R l b T 4 8 S X R l b U x v Y 2 F 0 a W 9 u P j x J d G V t V H l w Z T 5 G b 3 J t d W x h P C 9 J d G V t V H l w Z T 4 8 S X R l b V B h d G g + U 2 V j d G l v b j E v R V R T M i U y M G F 1 Y 3 R p b 2 4 l M j B y Z X Z l b n V l c y U y M G 9 1 d G l k Z S U y M F N D R i 9 V b n B p d m 9 0 Z W Q l M j B D b 2 x 1 b W 5 z P C 9 J d G V t U G F 0 a D 4 8 L 0 l 0 Z W 1 M b 2 N h d G l v b j 4 8 U 3 R h Y m x l R W 5 0 c m l l c y A v P j w v S X R l b T 4 8 S X R l b T 4 8 S X R l b U x v Y 2 F 0 a W 9 u P j x J d G V t V H l w Z T 5 G b 3 J t d W x h P C 9 J d G V t V H l w Z T 4 8 S X R l b V B h d G g + U 2 V j d G l v b j E v R V R T M i U y M G F 1 Y 3 R p b 2 4 l M j B y Z X Z l b n V l c y U y M G 9 1 d G l k Z S U y M F N D R i 9 S Z W 5 h b W V k J T I w Q 2 9 s d W 1 u c z w v S X R l b V B h d G g + P C 9 J d G V t T G 9 j Y X R p b 2 4 + P F N 0 Y W J s Z U V u d H J p Z X M g L z 4 8 L 0 l 0 Z W 0 + P E l 0 Z W 0 + P E l 0 Z W 1 M b 2 N h d G l v b j 4 8 S X R l b V R 5 c G U + R m 9 y b X V s Y T w v S X R l b V R 5 c G U + P E l 0 Z W 1 Q Y X R o P l N l Y 3 R p b 2 4 x L 0 1 p b i U y M G 9 3 b i U y M G N v b n R y a W J 1 d G l v b i U y M H R v J T I w Z X h w Z W 5 z Z X M l M j B i e S U y M E 1 T J T I w d G 8 l M j B T Q 0 Y 8 L 0 l 0 Z W 1 Q Y X R o P j w v S X R l b U x v Y 2 F 0 a W 9 u P j x T d G F i b G V F b n R y a W V z P j x F b n R y e S B U e X B l P S J J c 1 B y a X Z h d G U i I F Z h b H V l P S J s M C I g L z 4 8 R W 5 0 c n k g V H l w Z T 0 i U X V l c n l J R C I g V m F s d W U 9 I n M x M j Y 0 N z k 0 O C 1 i N D k 5 L T Q y Y W E t O G M 0 Z i 0 z M W R k N j R m N j k 0 Z j k i I C 8 + P E V u d H J 5 I F R 5 c G U 9 I k Z p b G x F b m F i b G V k 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Z W R D b 2 1 w b G V 0 Z V J l c 3 V s d F R v V 2 9 y a 3 N o Z W V 0 I i B W Y W x 1 Z T 0 i b D E i I C 8 + P E V u d H J 5 I F R 5 c G U 9 I k Z p b G x F c n J v c k N v d W 5 0 I i B W Y W x 1 Z T 0 i b D A i I C 8 + P E V u d H J 5 I F R 5 c G U 9 I k Z p b G x F c n J v c k N v Z G U i I F Z h b H V l P S J z V W 5 r b m 9 3 b i I g L z 4 8 R W 5 0 c n k g V H l w Z T 0 i R m l s b F R v R G F 0 Y U 1 v Z G V s R W 5 h Y m x l Z C I g V m F s d W U 9 I m w w I i A v P j x F b n R y e S B U e X B l P S J G a W x s T 2 J q Z W N 0 V H l w Z S I g V m F s d W U 9 I n N D b 2 5 u Z W N 0 a W 9 u T 2 5 s e S I g L z 4 8 R W 5 0 c n k g V H l w Z T 0 i R m l s b E x h c 3 R V c G R h d G V k I i B W Y W x 1 Z T 0 i Z D I w M j U t M T I t M T Z U M T A 6 N D g 6 N T U u M z A y M T M 2 M V o i I C 8 + P E V u d H J 5 I F R 5 c G U 9 I k Z p b G x D b 2 x 1 b W 5 U e X B l c y I g V m F s d W U 9 I n N C Z 1 l G I i A v P j x F b n R y e S B U e X B l P S J G a W x s Q 2 9 1 b n Q i I F Z h b H V l P S J s M j U y I i A v P j x F b n R y e S B U e X B l P S J G a W x s Q 2 9 s d W 1 u T m F t Z X M i I F Z h b H V l P S J z W y Z x d W 9 0 O 0 N v d W 5 0 c n k m c X V v d D s s J n F 1 b 3 Q 7 W W V h c i Z x d W 9 0 O y w m c X V v d D t N a W 4 u I G 9 3 b i B j b 2 5 0 c m l i d X R p b 2 4 g d G 8 g Z X h w Z W 5 z Z X M g Y n k g T V M g d G 8 g U 0 N G J n F 1 b 3 Q 7 X S I g L z 4 8 R W 5 0 c n k g V H l w Z T 0 i Q W R k Z W R U b 0 R h d G F N b 2 R l b C I g V m F s d W U 9 I m w w I i A v P j x F b n R y e S B U e X B l P S J G a W x s U 3 R h d H V z I i B W Y W x 1 Z T 0 i c 0 N v b X B s Z X R l I i A v P j x F b n R y e S B U e X B l P S J S Z W x h d G l v b n N o a X B J b m Z v Q 2 9 u d G F p b m V y I i B W Y W x 1 Z T 0 i c 3 s m c X V v d D t j b 2 x 1 b W 5 D b 3 V u d C Z x d W 9 0 O z o z L C Z x d W 9 0 O 2 t l e U N v b H V t b k 5 h b W V z J n F 1 b 3 Q 7 O l t d L C Z x d W 9 0 O 3 F 1 Z X J 5 U m V s Y X R p b 2 5 z a G l w c y Z x d W 9 0 O z p b X S w m c X V v d D t j b 2 x 1 b W 5 J Z G V u d G l 0 a W V z J n F 1 b 3 Q 7 O l s m c X V v d D t T Z W N 0 a W 9 u M S 9 N a W 4 g b 3 d u I G N v b n R y a W J 1 d G l v b i B 0 b y B l e H B l b n N l c y B i e S B N U y B 0 b y B T Q 0 Y v Q X V 0 b 1 J l b W 9 2 Z W R D b 2 x 1 b W 5 z M S 5 7 Q 2 9 1 b n R y e S w w f S Z x d W 9 0 O y w m c X V v d D t T Z W N 0 a W 9 u M S 9 N a W 4 g b 3 d u I G N v b n R y a W J 1 d G l v b i B 0 b y B l e H B l b n N l c y B i e S B N U y B 0 b y B T Q 0 Y v Q X V 0 b 1 J l b W 9 2 Z W R D b 2 x 1 b W 5 z M S 5 7 W W V h c i w x f S Z x d W 9 0 O y w m c X V v d D t T Z W N 0 a W 9 u M S 9 N a W 4 g b 3 d u I G N v b n R y a W J 1 d G l v b i B 0 b y B l e H B l b n N l c y B i e S B N U y B 0 b y B T Q 0 Y v Q X V 0 b 1 J l b W 9 2 Z W R D b 2 x 1 b W 5 z M S 5 7 T W l u L i B v d 2 4 g Y 2 9 u d H J p Y n V 0 a W 9 u I H R v I G V 4 c G V u c 2 V z I G J 5 I E 1 T I H R v I F N D R i w y f S Z x d W 9 0 O 1 0 s J n F 1 b 3 Q 7 Q 2 9 s d W 1 u Q 2 9 1 b n Q m c X V v d D s 6 M y w m c X V v d D t L Z X l D b 2 x 1 b W 5 O Y W 1 l c y Z x d W 9 0 O z p b X S w m c X V v d D t D b 2 x 1 b W 5 J Z G V u d G l 0 a W V z J n F 1 b 3 Q 7 O l s m c X V v d D t T Z W N 0 a W 9 u M S 9 N a W 4 g b 3 d u I G N v b n R y a W J 1 d G l v b i B 0 b y B l e H B l b n N l c y B i e S B N U y B 0 b y B T Q 0 Y v Q X V 0 b 1 J l b W 9 2 Z W R D b 2 x 1 b W 5 z M S 5 7 Q 2 9 1 b n R y e S w w f S Z x d W 9 0 O y w m c X V v d D t T Z W N 0 a W 9 u M S 9 N a W 4 g b 3 d u I G N v b n R y a W J 1 d G l v b i B 0 b y B l e H B l b n N l c y B i e S B N U y B 0 b y B T Q 0 Y v Q X V 0 b 1 J l b W 9 2 Z W R D b 2 x 1 b W 5 z M S 5 7 W W V h c i w x f S Z x d W 9 0 O y w m c X V v d D t T Z W N 0 a W 9 u M S 9 N a W 4 g b 3 d u I G N v b n R y a W J 1 d G l v b i B 0 b y B l e H B l b n N l c y B i e S B N U y B 0 b y B T Q 0 Y v Q X V 0 b 1 J l b W 9 2 Z W R D b 2 x 1 b W 5 z M S 5 7 T W l u L i B v d 2 4 g Y 2 9 u d H J p Y n V 0 a W 9 u I H R v I G V 4 c G V u c 2 V z I G J 5 I E 1 T I H R v I F N D R i w y f S Z x d W 9 0 O 1 0 s J n F 1 b 3 Q 7 U m V s Y X R p b 2 5 z a G l w S W 5 m b y Z x d W 9 0 O z p b X X 0 i I C 8 + P C 9 T d G F i b G V F b n R y a W V z P j w v S X R l b T 4 8 S X R l b T 4 8 S X R l b U x v Y 2 F 0 a W 9 u P j x J d G V t V H l w Z T 5 G b 3 J t d W x h P C 9 J d G V t V H l w Z T 4 8 S X R l b V B h d G g + U 2 V j d G l v b j E v T W l u J T I w b 3 d u J T I w Y 2 9 u d H J p Y n V 0 a W 9 u J T I w d G 8 l M j B l e H B l b n N l c y U y M G J 5 J T I w T V M l M j B 0 b y U y M F N D R i 9 T b 3 V y Y 2 U 8 L 0 l 0 Z W 1 Q Y X R o P j w v S X R l b U x v Y 2 F 0 a W 9 u P j x T d G F i b G V F b n R y a W V z I C 8 + P C 9 J d G V t P j x J d G V t P j x J d G V t T G 9 j Y X R p b 2 4 + P E l 0 Z W 1 U e X B l P k Z v c m 1 1 b G E 8 L 0 l 0 Z W 1 U e X B l P j x J d G V t U G F 0 a D 5 T Z W N 0 a W 9 u M S 9 N a W 4 l M j B v d 2 4 l M j B j b 2 5 0 c m l i d X R p b 2 4 l M j B 0 b y U y M G V 4 c G V u c 2 V z J T I w Y n k l M j B N U y U y M H R v J T I w U 0 N G L 0 N o Y W 5 n Z W Q l M j B U e X B l P C 9 J d G V t U G F 0 a D 4 8 L 0 l 0 Z W 1 M b 2 N h d G l v b j 4 8 U 3 R h Y m x l R W 5 0 c m l l c y A v P j w v S X R l b T 4 8 S X R l b T 4 8 S X R l b U x v Y 2 F 0 a W 9 u P j x J d G V t V H l w Z T 5 G b 3 J t d W x h P C 9 J d G V t V H l w Z T 4 8 S X R l b V B h d G g + U 2 V j d G l v b j E v T W l u J T I w b 3 d u J T I w Y 2 9 u d H J p Y n V 0 a W 9 u J T I w d G 8 l M j B l e H B l b n N l c y U y M G J 5 J T I w T V M l M j B 0 b y U y M F N D R i 9 V b n B p d m 9 0 Z W Q l M j B D b 2 x 1 b W 5 z P C 9 J d G V t U G F 0 a D 4 8 L 0 l 0 Z W 1 M b 2 N h d G l v b j 4 8 U 3 R h Y m x l R W 5 0 c m l l c y A v P j w v S X R l b T 4 8 S X R l b T 4 8 S X R l b U x v Y 2 F 0 a W 9 u P j x J d G V t V H l w Z T 5 G b 3 J t d W x h P C 9 J d G V t V H l w Z T 4 8 S X R l b V B h d G g + U 2 V j d G l v b j E v T W l u J T I w b 3 d u J T I w Y 2 9 u d H J p Y n V 0 a W 9 u J T I w d G 8 l M j B l e H B l b n N l c y U y M G J 5 J T I w T V M l M j B 0 b y U y M F N D R i 9 S Z W 5 h b W V k J T I w Q 2 9 s d W 1 u c z w v S X R l b V B h d G g + P C 9 J d G V t T G 9 j Y X R p b 2 4 + P F N 0 Y W J s Z U V u d H J p Z X M g L z 4 8 L 0 l 0 Z W 0 + P E l 0 Z W 0 + P E l 0 Z W 1 M b 2 N h d G l v b j 4 8 S X R l b V R 5 c G U + R m 9 y b X V s Y T w v S X R l b V R 5 c G U + P E l 0 Z W 1 Q Y X R o P l N l Y 3 R p b 2 4 x L 1 R v d G F s J T I w U 0 N G J T I w a W 5 j b C U y M G 9 3 b i U y M G N v b n R y a W J 1 d G l v b j w v S X R l b V B h d G g + P C 9 J d G V t T G 9 j Y X R p b 2 4 + P F N 0 Y W J s Z U V u d H J p Z X M + P E V u d H J 5 I F R 5 c G U 9 I k l z U H J p d m F 0 Z S I g V m F s d W U 9 I m w w I i A v P j x F b n R y e S B U e X B l P S J R d W V y e U l E I i B W Y W x 1 Z T 0 i c 2 M 2 Z D g y N j V k L T Q 3 M D Q t N D F i N i 1 i N T E x L T U 3 M m F l Z T Q z Z D Q 4 N i I g L z 4 8 R W 5 0 c n k g V H l w Z T 0 i R m l s 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E V y c m 9 y Q 2 9 1 b n Q i I F Z h b H V l P S J s M C I g L z 4 8 R W 5 0 c n k g V H l w Z T 0 i R m l s b E V y c m 9 y Q 2 9 k Z S I g V m F s d W U 9 I n N V b m t u b 3 d u I i A v P j x F b n R y e S B U e X B l P S J G a W x s V G 9 E Y X R h T W 9 k Z W x F b m F i b G V k I i B W Y W x 1 Z T 0 i b D A i I C 8 + P E V u d H J 5 I F R 5 c G U 9 I k Z p b G x P Y m p l Y 3 R U e X B l I i B W Y W x 1 Z T 0 i c 0 N v b m 5 l Y 3 R p b 2 5 P b m x 5 I i A v P j x F b n R y e S B U e X B l P S J G a W x s T G F z d F V w Z G F 0 Z W Q i I F Z h b H V l P S J k M j A y N S 0 x M i 0 x N l Q x M D o 0 O D o 1 N S 4 z M D Q x N D M x W i I g L z 4 8 R W 5 0 c n k g V H l w Z T 0 i R m l s b E N v b H V t b l R 5 c G V z I i B W Y W x 1 Z T 0 i c 0 J n W U Y i I C 8 + P E V u d H J 5 I F R 5 c G U 9 I k Z p b G x D b 3 V u d C I g V m F s d W U 9 I m w y N T I i I C 8 + P E V u d H J 5 I F R 5 c G U 9 I k Z p b G x D b 2 x 1 b W 5 O Y W 1 l c y I g V m F s d W U 9 I n N b J n F 1 b 3 Q 7 Q 2 9 1 b n R y e S Z x d W 9 0 O y w m c X V v d D t Z Z W F y J n F 1 b 3 Q 7 L C Z x d W 9 0 O 1 R v d G F s I F N D R i B p b m N s L i B v d 2 4 g Y 2 9 u d H J p Y n V 0 a W 9 u J n F 1 b 3 Q 7 X S I g L z 4 8 R W 5 0 c n k g V H l w Z T 0 i Q W R k Z W R U b 0 R h d G F N b 2 R l b C I g V m F s d W U 9 I m w w I i A v P j x F b n R y e S B U e X B l P S J G a W x s U 3 R h d H V z I i B W Y W x 1 Z T 0 i c 0 N v b X B s Z X R l I i A v P j x F b n R y e S B U e X B l P S J S Z W x h d G l v b n N o a X B J b m Z v Q 2 9 u d G F p b m V y I i B W Y W x 1 Z T 0 i c 3 s m c X V v d D t j b 2 x 1 b W 5 D b 3 V u d C Z x d W 9 0 O z o z L C Z x d W 9 0 O 2 t l e U N v b H V t b k 5 h b W V z J n F 1 b 3 Q 7 O l t d L C Z x d W 9 0 O 3 F 1 Z X J 5 U m V s Y X R p b 2 5 z a G l w c y Z x d W 9 0 O z p b X S w m c X V v d D t j b 2 x 1 b W 5 J Z G V u d G l 0 a W V z J n F 1 b 3 Q 7 O l s m c X V v d D t T Z W N 0 a W 9 u M S 9 U b 3 R h b C B T Q 0 Y g a W 5 j b C B v d 2 4 g Y 2 9 u d H J p Y n V 0 a W 9 u L 0 F 1 d G 9 S Z W 1 v d m V k Q 2 9 s d W 1 u c z E u e 0 N v d W 5 0 c n k s M H 0 m c X V v d D s s J n F 1 b 3 Q 7 U 2 V j d G l v b j E v V G 9 0 Y W w g U 0 N G I G l u Y 2 w g b 3 d u I G N v b n R y a W J 1 d G l v b i 9 B d X R v U m V t b 3 Z l Z E N v b H V t b n M x L n t Z Z W F y L D F 9 J n F 1 b 3 Q 7 L C Z x d W 9 0 O 1 N l Y 3 R p b 2 4 x L 1 R v d G F s I F N D R i B p b m N s I G 9 3 b i B j b 2 5 0 c m l i d X R p b 2 4 v Q X V 0 b 1 J l b W 9 2 Z W R D b 2 x 1 b W 5 z M S 5 7 V G 9 0 Y W w g U 0 N G I G l u Y 2 w u I G 9 3 b i B j b 2 5 0 c m l i d X R p b 2 4 s M n 0 m c X V v d D t d L C Z x d W 9 0 O 0 N v b H V t b k N v d W 5 0 J n F 1 b 3 Q 7 O j M s J n F 1 b 3 Q 7 S 2 V 5 Q 2 9 s d W 1 u T m F t Z X M m c X V v d D s 6 W 1 0 s J n F 1 b 3 Q 7 Q 2 9 s d W 1 u S W R l b n R p d G l l c y Z x d W 9 0 O z p b J n F 1 b 3 Q 7 U 2 V j d G l v b j E v V G 9 0 Y W w g U 0 N G I G l u Y 2 w g b 3 d u I G N v b n R y a W J 1 d G l v b i 9 B d X R v U m V t b 3 Z l Z E N v b H V t b n M x L n t D b 3 V u d H J 5 L D B 9 J n F 1 b 3 Q 7 L C Z x d W 9 0 O 1 N l Y 3 R p b 2 4 x L 1 R v d G F s I F N D R i B p b m N s I G 9 3 b i B j b 2 5 0 c m l i d X R p b 2 4 v Q X V 0 b 1 J l b W 9 2 Z W R D b 2 x 1 b W 5 z M S 5 7 W W V h c i w x f S Z x d W 9 0 O y w m c X V v d D t T Z W N 0 a W 9 u M S 9 U b 3 R h b C B T Q 0 Y g a W 5 j b C B v d 2 4 g Y 2 9 u d H J p Y n V 0 a W 9 u L 0 F 1 d G 9 S Z W 1 v d m V k Q 2 9 s d W 1 u c z E u e 1 R v d G F s I F N D R i B p b m N s L i B v d 2 4 g Y 2 9 u d H J p Y n V 0 a W 9 u L D J 9 J n F 1 b 3 Q 7 X S w m c X V v d D t S Z W x h d G l v b n N o a X B J b m Z v J n F 1 b 3 Q 7 O l t d f S I g L z 4 8 L 1 N 0 Y W J s Z U V u d H J p Z X M + P C 9 J d G V t P j x J d G V t P j x J d G V t T G 9 j Y X R p b 2 4 + P E l 0 Z W 1 U e X B l P k Z v c m 1 1 b G E 8 L 0 l 0 Z W 1 U e X B l P j x J d G V t U G F 0 a D 5 T Z W N 0 a W 9 u M S 9 U b 3 R h b C U y M F N D R i U y M G l u Y 2 w l M j B v d 2 4 l M j B j b 2 5 0 c m l i d X R p b 2 4 v U 2 9 1 c m N l P C 9 J d G V t U G F 0 a D 4 8 L 0 l 0 Z W 1 M b 2 N h d G l v b j 4 8 U 3 R h Y m x l R W 5 0 c m l l c y A v P j w v S X R l b T 4 8 S X R l b T 4 8 S X R l b U x v Y 2 F 0 a W 9 u P j x J d G V t V H l w Z T 5 G b 3 J t d W x h P C 9 J d G V t V H l w Z T 4 8 S X R l b V B h d G g + U 2 V j d G l v b j E v V G 9 0 Y W w l M j B T Q 0 Y l M j B p b m N s J T I w b 3 d u J T I w Y 2 9 u d H J p Y n V 0 a W 9 u L 0 N o Y W 5 n Z W Q l M j B U e X B l P C 9 J d G V t U G F 0 a D 4 8 L 0 l 0 Z W 1 M b 2 N h d G l v b j 4 8 U 3 R h Y m x l R W 5 0 c m l l c y A v P j w v S X R l b T 4 8 S X R l b T 4 8 S X R l b U x v Y 2 F 0 a W 9 u P j x J d G V t V H l w Z T 5 G b 3 J t d W x h P C 9 J d G V t V H l w Z T 4 8 S X R l b V B h d G g + U 2 V j d G l v b j E v V G 9 0 Y W w l M j B T Q 0 Y l M j B p b m N s J T I w b 3 d u J T I w Y 2 9 u d H J p Y n V 0 a W 9 u L 1 V u c G l 2 b 3 R l Z C U y M E N v b H V t b n M 8 L 0 l 0 Z W 1 Q Y X R o P j w v S X R l b U x v Y 2 F 0 a W 9 u P j x T d G F i b G V F b n R y a W V z I C 8 + P C 9 J d G V t P j x J d G V t P j x J d G V t T G 9 j Y X R p b 2 4 + P E l 0 Z W 1 U e X B l P k Z v c m 1 1 b G E 8 L 0 l 0 Z W 1 U e X B l P j x J d G V t U G F 0 a D 5 T Z W N 0 a W 9 u M S 9 U b 3 R h b C U y M F N D R i U y M G l u Y 2 w l M j B v d 2 4 l M j B j b 2 5 0 c m l i d X R p b 2 4 v U m V u Y W 1 l Z C U y M E N v b H V t b n M 8 L 0 l 0 Z W 1 Q Y X R o P j w v S X R l b U x v Y 2 F 0 a W 9 u P j x T d G F i b G V F b n R y a W V z I C 8 + P C 9 J d G V t P j x J d G V t P j x J d G V t T G 9 j Y X R p b 2 4 + P E l 0 Z W 1 U e X B l P k Z v c m 1 1 b G E 8 L 0 l 0 Z W 1 U e X B l P j x J d G V t U G F 0 a D 5 T Z W N 0 a W 9 u M S 9 S Z X N 0 J T I w b 2 Y l M j B F V F M y J T I w c m V 2 Z W 5 1 Z X M l M j B h Z n R l c i U y M G 9 3 b i U y M G N v b n R y a W J 1 d G l v b j w v S X R l b V B h d G g + P C 9 J d G V t T G 9 j Y X R p b 2 4 + P F N 0 Y W J s Z U V u d H J p Z X M + P E V u d H J 5 I F R 5 c G U 9 I k l z U H J p d m F 0 Z S I g V m F s d W U 9 I m w w I i A v P j x F b n R y e S B U e X B l P S J R d W V y e U l E I i B W Y W x 1 Z T 0 i c z Y z Z j V l Z W E 5 L W Q 5 N D k t N D g 5 N S 1 i O T k x L T A 0 Y m Q 4 M z R j N T U z Z i I g L z 4 8 R W 5 0 c n k g V H l w Z T 0 i R m l s 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E V y c m 9 y Q 2 9 1 b n Q i I F Z h b H V l P S J s M C I g L z 4 8 R W 5 0 c n k g V H l w Z T 0 i R m l s b E V y c m 9 y Q 2 9 k Z S I g V m F s d W U 9 I n N V b m t u b 3 d u I i A v P j x F b n R y e S B U e X B l P S J G a W x s V G 9 E Y X R h T W 9 k Z W x F b m F i b G V k I i B W Y W x 1 Z T 0 i b D A i I C 8 + P E V u d H J 5 I F R 5 c G U 9 I k Z p b G x P Y m p l Y 3 R U e X B l I i B W Y W x 1 Z T 0 i c 0 N v b m 5 l Y 3 R p b 2 5 P b m x 5 I i A v P j x F b n R y e S B U e X B l P S J G a W x s T G F z d F V w Z G F 0 Z W Q i I F Z h b H V l P S J k M j A y N S 0 x M i 0 x N l Q x M D o 0 O D o 1 N S 4 z M D c 1 M T k 1 W i I g L z 4 8 R W 5 0 c n k g V H l w Z T 0 i R m l s b E N v b H V t b l R 5 c G V z I i B W Y W x 1 Z T 0 i c 0 J n W U E i I C 8 + P E V u d H J 5 I F R 5 c G U 9 I k Z p b G x D b 3 V u d C I g V m F s d W U 9 I m w x O T Y i I C 8 + P E V u d H J 5 I F R 5 c G U 9 I k Z p b G x D b 2 x 1 b W 5 O Y W 1 l c y I g V m F s d W U 9 I n N b J n F 1 b 3 Q 7 Q 2 9 1 b n R y e S Z x d W 9 0 O y w m c X V v d D t Z Z W F y J n F 1 b 3 Q 7 L C Z x d W 9 0 O 1 J l c 3 Q g b 2 Y g R V R T M i B y Z X Z l b n V l c y B h Z n R l c i B v d 2 4 g Y 2 9 u d H J p Y n V 0 a W 9 u J n F 1 b 3 Q 7 X S I g L z 4 8 R W 5 0 c n k g V H l w Z T 0 i Q W R k Z W R U b 0 R h d G F N b 2 R l b C I g V m F s d W U 9 I m w w I i A v P j x F b n R y e S B U e X B l P S J G a W x s U 3 R h d H V z I i B W Y W x 1 Z T 0 i c 0 N v b X B s Z X R l I i A v P j x F b n R y e S B U e X B l P S J S Z W x h d G l v b n N o a X B J b m Z v Q 2 9 u d G F p b m V y I i B W Y W x 1 Z T 0 i c 3 s m c X V v d D t j b 2 x 1 b W 5 D b 3 V u d C Z x d W 9 0 O z o z L C Z x d W 9 0 O 2 t l e U N v b H V t b k 5 h b W V z J n F 1 b 3 Q 7 O l t d L C Z x d W 9 0 O 3 F 1 Z X J 5 U m V s Y X R p b 2 5 z a G l w c y Z x d W 9 0 O z p b X S w m c X V v d D t j b 2 x 1 b W 5 J Z G V u d G l 0 a W V z J n F 1 b 3 Q 7 O l s m c X V v d D t T Z W N 0 a W 9 u M S 9 S Z X N 0 I G 9 m I E V U U z I g c m V 2 Z W 5 1 Z X M g Y W Z 0 Z X I g b 3 d u I G N v b n R y a W J 1 d G l v b i 9 B d X R v U m V t b 3 Z l Z E N v b H V t b n M x L n t D b 3 V u d H J 5 L D B 9 J n F 1 b 3 Q 7 L C Z x d W 9 0 O 1 N l Y 3 R p b 2 4 x L 1 J l c 3 Q g b 2 Y g R V R T M i B y Z X Z l b n V l c y B h Z n R l c i B v d 2 4 g Y 2 9 u d H J p Y n V 0 a W 9 u L 0 F 1 d G 9 S Z W 1 v d m V k Q 2 9 s d W 1 u c z E u e 1 l l Y X I s M X 0 m c X V v d D s s J n F 1 b 3 Q 7 U 2 V j d G l v b j E v U m V z d C B v Z i B F V F M y I H J l d m V u d W V z I G F m d G V y I G 9 3 b i B j b 2 5 0 c m l i d X R p b 2 4 v Q X V 0 b 1 J l b W 9 2 Z W R D b 2 x 1 b W 5 z M S 5 7 U m V z d C B v Z i B F V F M y I H J l d m V u d W V z I G F m d G V y I G 9 3 b i B j b 2 5 0 c m l i d X R p b 2 4 s M n 0 m c X V v d D t d L C Z x d W 9 0 O 0 N v b H V t b k N v d W 5 0 J n F 1 b 3 Q 7 O j M s J n F 1 b 3 Q 7 S 2 V 5 Q 2 9 s d W 1 u T m F t Z X M m c X V v d D s 6 W 1 0 s J n F 1 b 3 Q 7 Q 2 9 s d W 1 u S W R l b n R p d G l l c y Z x d W 9 0 O z p b J n F 1 b 3 Q 7 U 2 V j d G l v b j E v U m V z d C B v Z i B F V F M y I H J l d m V u d W V z I G F m d G V y I G 9 3 b i B j b 2 5 0 c m l i d X R p b 2 4 v Q X V 0 b 1 J l b W 9 2 Z W R D b 2 x 1 b W 5 z M S 5 7 Q 2 9 1 b n R y e S w w f S Z x d W 9 0 O y w m c X V v d D t T Z W N 0 a W 9 u M S 9 S Z X N 0 I G 9 m I E V U U z I g c m V 2 Z W 5 1 Z X M g Y W Z 0 Z X I g b 3 d u I G N v b n R y a W J 1 d G l v b i 9 B d X R v U m V t b 3 Z l Z E N v b H V t b n M x L n t Z Z W F y L D F 9 J n F 1 b 3 Q 7 L C Z x d W 9 0 O 1 N l Y 3 R p b 2 4 x L 1 J l c 3 Q g b 2 Y g R V R T M i B y Z X Z l b n V l c y B h Z n R l c i B v d 2 4 g Y 2 9 u d H J p Y n V 0 a W 9 u L 0 F 1 d G 9 S Z W 1 v d m V k Q 2 9 s d W 1 u c z E u e 1 J l c 3 Q g b 2 Y g R V R T M i B y Z X Z l b n V l c y B h Z n R l c i B v d 2 4 g Y 2 9 u d H J p Y n V 0 a W 9 u L D J 9 J n F 1 b 3 Q 7 X S w m c X V v d D t S Z W x h d G l v b n N o a X B J b m Z v J n F 1 b 3 Q 7 O l t d f S I g L z 4 8 L 1 N 0 Y W J s Z U V u d H J p Z X M + P C 9 J d G V t P j x J d G V t P j x J d G V t T G 9 j Y X R p b 2 4 + P E l 0 Z W 1 U e X B l P k Z v c m 1 1 b G E 8 L 0 l 0 Z W 1 U e X B l P j x J d G V t U G F 0 a D 5 T Z W N 0 a W 9 u M S 9 S Z X N 0 J T I w b 2 Y l M j B F V F M y J T I w c m V 2 Z W 5 1 Z X M l M j B h Z n R l c i U y M G 9 3 b i U y M G N v b n R y a W J 1 d G l v b i 9 T b 3 V y Y 2 U 8 L 0 l 0 Z W 1 Q Y X R o P j w v S X R l b U x v Y 2 F 0 a W 9 u P j x T d G F i b G V F b n R y a W V z I C 8 + P C 9 J d G V t P j x J d G V t P j x J d G V t T G 9 j Y X R p b 2 4 + P E l 0 Z W 1 U e X B l P k Z v c m 1 1 b G E 8 L 0 l 0 Z W 1 U e X B l P j x J d G V t U G F 0 a D 5 T Z W N 0 a W 9 u M S 9 S Z X N 0 J T I w b 2 Y l M j B F V F M y J T I w c m V 2 Z W 5 1 Z X M l M j B h Z n R l c i U y M G 9 3 b i U y M G N v b n R y a W J 1 d G l v b i 9 D a G F u Z 2 V k J T I w V H l w Z T w v S X R l b V B h d G g + P C 9 J d G V t T G 9 j Y X R p b 2 4 + P F N 0 Y W J s Z U V u d H J p Z X M g L z 4 8 L 0 l 0 Z W 0 + P E l 0 Z W 0 + P E l 0 Z W 1 M b 2 N h d G l v b j 4 8 S X R l b V R 5 c G U + R m 9 y b X V s Y T w v S X R l b V R 5 c G U + P E l 0 Z W 1 Q Y X R o P l N l Y 3 R p b 2 4 x L 1 J l c 3 Q l M j B v Z i U y M E V U U z I l M j B y Z X Z l b n V l c y U y M G F m d G V y J T I w b 3 d u J T I w Y 2 9 u d H J p Y n V 0 a W 9 u L 1 V u c G l 2 b 3 R l Z C U y M E N v b H V t b n M 8 L 0 l 0 Z W 1 Q Y X R o P j w v S X R l b U x v Y 2 F 0 a W 9 u P j x T d G F i b G V F b n R y a W V z I C 8 + P C 9 J d G V t P j x J d G V t P j x J d G V t T G 9 j Y X R p b 2 4 + P E l 0 Z W 1 U e X B l P k Z v c m 1 1 b G E 8 L 0 l 0 Z W 1 U e X B l P j x J d G V t U G F 0 a D 5 T Z W N 0 a W 9 u M S 9 S Z X N 0 J T I w b 2 Y l M j B F V F M y J T I w c m V 2 Z W 5 1 Z X M l M j B h Z n R l c i U y M G 9 3 b i U y M G N v b n R y a W J 1 d G l v b i 9 S Z W 5 h b W V k J T I w Q 2 9 s d W 1 u c z w v S X R l b V B h d G g + P C 9 J d G V t T G 9 j Y X R p b 2 4 + P F N 0 Y W J s Z U V u d H J p Z X M g L z 4 8 L 0 l 0 Z W 0 + P E l 0 Z W 0 + P E l 0 Z W 1 M b 2 N h d G l v b j 4 8 S X R l b V R 5 c G U + R m 9 y b X V s Y T w v S X R l b V R 5 c G U + P E l 0 Z W 1 Q Y X R o P l N l Y 3 R p b 2 4 x L 1 R v d G F s J T I w R V R T M i U y M C U y Q i U y M F N D R i U y M H J l d m V u d W V z P C 9 J d G V t U G F 0 a D 4 8 L 0 l 0 Z W 1 M b 2 N h d G l v b j 4 8 U 3 R h Y m x l R W 5 0 c m l l c z 4 8 R W 5 0 c n k g V H l w Z T 0 i S X N Q c m l 2 Y X R l I i B W Y W x 1 Z T 0 i b D A i I C 8 + P E V u d H J 5 I F R 5 c G U 9 I l F 1 Z X J 5 S U Q i I F Z h b H V l P S J z Z j M 2 M m J l Z m I t Y 2 Q 2 Z i 0 0 N W Q x L T h h Z D k t Z D d j M D c y M W M 5 N m Q 5 I i A v P j x F b n R y e S B U e X B l P S J G a W x s R W 5 h Y m x l Z C 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G V k Q 2 9 t c G x l d G V S Z X N 1 b H R U b 1 d v c m t z a G V l d C I g V m F s d W U 9 I m w x I i A v P j x F b n R y e S B U e X B l P S J G a W x s R X J y b 3 J D b 3 V u d C I g V m F s d W U 9 I m w w I i A v P j x F b n R y e S B U e X B l P S J G a W x s R X J y b 3 J D b 2 R l I i B W Y W x 1 Z T 0 i c 1 V u a 2 5 v d 2 4 i I C 8 + P E V u d H J 5 I F R 5 c G U 9 I k Z p b G x U b 0 R h d G F N b 2 R l b E V u Y W J s Z W Q i I F Z h b H V l P S J s M C I g L z 4 8 R W 5 0 c n k g V H l w Z T 0 i R m l s b E 9 i a m V j d F R 5 c G U i I F Z h b H V l P S J z Q 2 9 u b m V j d G l v b k 9 u b H k i I C 8 + P E V u d H J 5 I F R 5 c G U 9 I k Z p b G x M Y X N 0 V X B k Y X R l Z C I g V m F s d W U 9 I m Q y M D I 1 L T E y L T E 2 V D E w O j Q 4 O j U 1 L j M w O D k w N T J a I i A v P j x F b n R y e S B U e X B l P S J G a W x s Q 2 9 s d W 1 u V H l w Z X M i I F Z h b H V l P S J z Q m d Z R i I g L z 4 8 R W 5 0 c n k g V H l w Z T 0 i R m l s b E N v d W 5 0 I i B W Y W x 1 Z T 0 i b D I 1 M i I g L z 4 8 R W 5 0 c n k g V H l w Z T 0 i R m l s b E N v b H V t b k 5 h b W V z I i B W Y W x 1 Z T 0 i c 1 s m c X V v d D t D b 3 V u d H J 5 J n F 1 b 3 Q 7 L C Z x d W 9 0 O 1 l l Y X I m c X V v d D s s J n F 1 b 3 Q 7 V G 9 0 Y W w g R V R T M i A r I F N D R i B y Z X Z l b n V l c y Z x d W 9 0 O 1 0 i I C 8 + P E V u d H J 5 I F R 5 c G U 9 I k F k Z G V k V G 9 E Y X R h T W 9 k Z W w i I F Z h b H V l P S J s M C I g L z 4 8 R W 5 0 c n k g V H l w Z T 0 i R m l s b F N 0 Y X R 1 c y I g V m F s d W U 9 I n N D b 2 1 w b G V 0 Z S I g L z 4 8 R W 5 0 c n k g V H l w Z T 0 i U m V s Y X R p b 2 5 z a G l w S W 5 m b 0 N v b n R h a W 5 l c i I g V m F s d W U 9 I n N 7 J n F 1 b 3 Q 7 Y 2 9 s d W 1 u Q 2 9 1 b n Q m c X V v d D s 6 M y w m c X V v d D t r Z X l D b 2 x 1 b W 5 O Y W 1 l c y Z x d W 9 0 O z p b X S w m c X V v d D t x d W V y e V J l b G F 0 a W 9 u c 2 h p c H M m c X V v d D s 6 W 1 0 s J n F 1 b 3 Q 7 Y 2 9 s d W 1 u S W R l b n R p d G l l c y Z x d W 9 0 O z p b J n F 1 b 3 Q 7 U 2 V j d G l v b j E v V G 9 0 Y W w g R V R T M i A r I F N D R i B y Z X Z l b n V l c y 9 B d X R v U m V t b 3 Z l Z E N v b H V t b n M x L n t D b 3 V u d H J 5 L D B 9 J n F 1 b 3 Q 7 L C Z x d W 9 0 O 1 N l Y 3 R p b 2 4 x L 1 R v d G F s I E V U U z I g K y B T Q 0 Y g c m V 2 Z W 5 1 Z X M v Q X V 0 b 1 J l b W 9 2 Z W R D b 2 x 1 b W 5 z M S 5 7 W W V h c i w x f S Z x d W 9 0 O y w m c X V v d D t T Z W N 0 a W 9 u M S 9 U b 3 R h b C B F V F M y I C s g U 0 N G I H J l d m V u d W V z L 0 F 1 d G 9 S Z W 1 v d m V k Q 2 9 s d W 1 u c z E u e 1 R v d G F s I E V U U z I g K y B T Q 0 Y g c m V 2 Z W 5 1 Z X M s M n 0 m c X V v d D t d L C Z x d W 9 0 O 0 N v b H V t b k N v d W 5 0 J n F 1 b 3 Q 7 O j M s J n F 1 b 3 Q 7 S 2 V 5 Q 2 9 s d W 1 u T m F t Z X M m c X V v d D s 6 W 1 0 s J n F 1 b 3 Q 7 Q 2 9 s d W 1 u S W R l b n R p d G l l c y Z x d W 9 0 O z p b J n F 1 b 3 Q 7 U 2 V j d G l v b j E v V G 9 0 Y W w g R V R T M i A r I F N D R i B y Z X Z l b n V l c y 9 B d X R v U m V t b 3 Z l Z E N v b H V t b n M x L n t D b 3 V u d H J 5 L D B 9 J n F 1 b 3 Q 7 L C Z x d W 9 0 O 1 N l Y 3 R p b 2 4 x L 1 R v d G F s I E V U U z I g K y B T Q 0 Y g c m V 2 Z W 5 1 Z X M v Q X V 0 b 1 J l b W 9 2 Z W R D b 2 x 1 b W 5 z M S 5 7 W W V h c i w x f S Z x d W 9 0 O y w m c X V v d D t T Z W N 0 a W 9 u M S 9 U b 3 R h b C B F V F M y I C s g U 0 N G I H J l d m V u d W V z L 0 F 1 d G 9 S Z W 1 v d m V k Q 2 9 s d W 1 u c z E u e 1 R v d G F s I E V U U z I g K y B T Q 0 Y g c m V 2 Z W 5 1 Z X M s M n 0 m c X V v d D t d L C Z x d W 9 0 O 1 J l b G F 0 a W 9 u c 2 h p c E l u Z m 8 m c X V v d D s 6 W 1 1 9 I i A v P j w v U 3 R h Y m x l R W 5 0 c m l l c z 4 8 L 0 l 0 Z W 0 + P E l 0 Z W 0 + P E l 0 Z W 1 M b 2 N h d G l v b j 4 8 S X R l b V R 5 c G U + R m 9 y b X V s Y T w v S X R l b V R 5 c G U + P E l 0 Z W 1 Q Y X R o P l N l Y 3 R p b 2 4 x L 1 R v d G F s J T I w R V R T M i U y M C U y Q i U y M F N D R i U y M H J l d m V u d W V z L 1 N v d X J j Z T w v S X R l b V B h d G g + P C 9 J d G V t T G 9 j Y X R p b 2 4 + P F N 0 Y W J s Z U V u d H J p Z X M g L z 4 8 L 0 l 0 Z W 0 + P E l 0 Z W 0 + P E l 0 Z W 1 M b 2 N h d G l v b j 4 8 S X R l b V R 5 c G U + R m 9 y b X V s Y T w v S X R l b V R 5 c G U + P E l 0 Z W 1 Q Y X R o P l N l Y 3 R p b 2 4 x L 1 R v d G F s J T I w R V R T M i U y M C U y Q i U y M F N D R i U y M H J l d m V u d W V z L 0 N o Y W 5 n Z W Q l M j B U e X B l P C 9 J d G V t U G F 0 a D 4 8 L 0 l 0 Z W 1 M b 2 N h d G l v b j 4 8 U 3 R h Y m x l R W 5 0 c m l l c y A v P j w v S X R l b T 4 8 S X R l b T 4 8 S X R l b U x v Y 2 F 0 a W 9 u P j x J d G V t V H l w Z T 5 G b 3 J t d W x h P C 9 J d G V t V H l w Z T 4 8 S X R l b V B h d G g + U 2 V j d G l v b j E v V G 9 0 Y W w l M j B F V F M y J T I w J T J C J T I w U 0 N G J T I w c m V 2 Z W 5 1 Z X M v V W 5 w a X Z v d G V k J T I w Q 2 9 s d W 1 u c z w v S X R l b V B h d G g + P C 9 J d G V t T G 9 j Y X R p b 2 4 + P F N 0 Y W J s Z U V u d H J p Z X M g L z 4 8 L 0 l 0 Z W 0 + P E l 0 Z W 0 + P E l 0 Z W 1 M b 2 N h d G l v b j 4 8 S X R l b V R 5 c G U + R m 9 y b X V s Y T w v S X R l b V R 5 c G U + P E l 0 Z W 1 Q Y X R o P l N l Y 3 R p b 2 4 x L 1 R v d G F s J T I w R V R T M i U y M C U y Q i U y M F N D R i U y M H J l d m V u d W V z L 1 J l b m F t Z W Q l M j B D b 2 x 1 b W 5 z P C 9 J d G V t U G F 0 a D 4 8 L 0 l 0 Z W 1 M b 2 N h d G l v b j 4 8 U 3 R h Y m x l R W 5 0 c m l l c y A v P j w v S X R l b T 4 8 S X R l b T 4 8 S X R l b U x v Y 2 F 0 a W 9 u P j x J d G V t V H l w Z T 5 G b 3 J t d W x h P C 9 J d G V t V H l w Z T 4 8 S X R l b V B h d G g + U 2 V j d G l v b j E v T W F 4 J T I w Z G l y Z W N 0 J T I w c m V k a X N 0 c m l i d X R p b 2 4 l M j B p b i U y M F N D R j w v S X R l b V B h d G g + P C 9 J d G V t T G 9 j Y X R p b 2 4 + P F N 0 Y W J s Z U V u d H J p Z X M + P E V u d H J 5 I F R 5 c G U 9 I k l z U H J p d m F 0 Z S I g V m F s d W U 9 I m w w I i A v P j x F b n R y e S B U e X B l P S J R d W V y e U l E I i B W Y W x 1 Z T 0 i c 2 N l M D M 3 Y T F h L T g x O D I t N D A 3 M C 0 4 N T M z L W R i N T F i Z T c z Z T d l M C I g L z 4 8 R W 5 0 c n k g V H l w Z T 0 i R m l s 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E V y c m 9 y Q 2 9 1 b n Q i I F Z h b H V l P S J s M C I g L z 4 8 R W 5 0 c n k g V H l w Z T 0 i R m l s b E V y c m 9 y Q 2 9 k Z S I g V m F s d W U 9 I n N V b m t u b 3 d u I i A v P j x F b n R y e S B U e X B l P S J G a W x s V G 9 E Y X R h T W 9 k Z W x F b m F i b G V k I i B W Y W x 1 Z T 0 i b D A i I C 8 + P E V u d H J 5 I F R 5 c G U 9 I k Z p b G x P Y m p l Y 3 R U e X B l I i B W Y W x 1 Z T 0 i c 0 N v b m 5 l Y 3 R p b 2 5 P b m x 5 I i A v P j x F b n R y e S B U e X B l P S J G a W x s T G F z d F V w Z G F 0 Z W Q i I F Z h b H V l P S J k M j A y N S 0 x M i 0 x N l Q x M D o 0 O D o 1 N S 4 z M T E w M z M w W i I g L z 4 8 R W 5 0 c n k g V H l w Z T 0 i R m l s b E N v b H V t b l R 5 c G V z I i B W Y W x 1 Z T 0 i c 0 J n W U Y i I C 8 + P E V u d H J 5 I F R 5 c G U 9 I k Z p b G x D b 3 V u d C I g V m F s d W U 9 I m w y N T I i I C 8 + P E V u d H J 5 I F R 5 c G U 9 I k Z p b G x D b 2 x 1 b W 5 O Y W 1 l c y I g V m F s d W U 9 I n N b J n F 1 b 3 Q 7 Q 2 9 1 b n R y e S Z x d W 9 0 O y w m c X V v d D t Z Z W F y J n F 1 b 3 Q 7 L C Z x d W 9 0 O 0 1 h e C B k a X J l Y 3 Q g c m V k a X N 0 c m l i d X R p b 2 4 g a W 4 g U 0 N G J n F 1 b 3 Q 7 X S I g L z 4 8 R W 5 0 c n k g V H l w Z T 0 i Q W R k Z W R U b 0 R h d G F N b 2 R l b C I g V m F s d W U 9 I m w w I i A v P j x F b n R y e S B U e X B l P S J G a W x s U 3 R h d H V z I i B W Y W x 1 Z T 0 i c 0 N v b X B s Z X R l I i A v P j x F b n R y e S B U e X B l P S J S Z W x h d G l v b n N o a X B J b m Z v Q 2 9 u d G F p b m V y I i B W Y W x 1 Z T 0 i c 3 s m c X V v d D t j b 2 x 1 b W 5 D b 3 V u d C Z x d W 9 0 O z o z L C Z x d W 9 0 O 2 t l e U N v b H V t b k 5 h b W V z J n F 1 b 3 Q 7 O l t d L C Z x d W 9 0 O 3 F 1 Z X J 5 U m V s Y X R p b 2 5 z a G l w c y Z x d W 9 0 O z p b X S w m c X V v d D t j b 2 x 1 b W 5 J Z G V u d G l 0 a W V z J n F 1 b 3 Q 7 O l s m c X V v d D t T Z W N 0 a W 9 u M S 9 N Y X g g Z G l y Z W N 0 I H J l Z G l z d H J p Y n V 0 a W 9 u I G l u I F N D R i 9 B d X R v U m V t b 3 Z l Z E N v b H V t b n M x L n t D b 3 V u d H J 5 L D B 9 J n F 1 b 3 Q 7 L C Z x d W 9 0 O 1 N l Y 3 R p b 2 4 x L 0 1 h e C B k a X J l Y 3 Q g c m V k a X N 0 c m l i d X R p b 2 4 g a W 4 g U 0 N G L 0 F 1 d G 9 S Z W 1 v d m V k Q 2 9 s d W 1 u c z E u e 1 l l Y X I s M X 0 m c X V v d D s s J n F 1 b 3 Q 7 U 2 V j d G l v b j E v T W F 4 I G R p c m V j d C B y Z W R p c 3 R y a W J 1 d G l v b i B p b i B T Q 0 Y v Q X V 0 b 1 J l b W 9 2 Z W R D b 2 x 1 b W 5 z M S 5 7 T W F 4 I G R p c m V j d C B y Z W R p c 3 R y a W J 1 d G l v b i B p b i B T Q 0 Y s M n 0 m c X V v d D t d L C Z x d W 9 0 O 0 N v b H V t b k N v d W 5 0 J n F 1 b 3 Q 7 O j M s J n F 1 b 3 Q 7 S 2 V 5 Q 2 9 s d W 1 u T m F t Z X M m c X V v d D s 6 W 1 0 s J n F 1 b 3 Q 7 Q 2 9 s d W 1 u S W R l b n R p d G l l c y Z x d W 9 0 O z p b J n F 1 b 3 Q 7 U 2 V j d G l v b j E v T W F 4 I G R p c m V j d C B y Z W R p c 3 R y a W J 1 d G l v b i B p b i B T Q 0 Y v Q X V 0 b 1 J l b W 9 2 Z W R D b 2 x 1 b W 5 z M S 5 7 Q 2 9 1 b n R y e S w w f S Z x d W 9 0 O y w m c X V v d D t T Z W N 0 a W 9 u M S 9 N Y X g g Z G l y Z W N 0 I H J l Z G l z d H J p Y n V 0 a W 9 u I G l u I F N D R i 9 B d X R v U m V t b 3 Z l Z E N v b H V t b n M x L n t Z Z W F y L D F 9 J n F 1 b 3 Q 7 L C Z x d W 9 0 O 1 N l Y 3 R p b 2 4 x L 0 1 h e C B k a X J l Y 3 Q g c m V k a X N 0 c m l i d X R p b 2 4 g a W 4 g U 0 N G L 0 F 1 d G 9 S Z W 1 v d m V k Q 2 9 s d W 1 u c z E u e 0 1 h e C B k a X J l Y 3 Q g c m V k a X N 0 c m l i d X R p b 2 4 g a W 4 g U 0 N G L D J 9 J n F 1 b 3 Q 7 X S w m c X V v d D t S Z W x h d G l v b n N o a X B J b m Z v J n F 1 b 3 Q 7 O l t d f S I g L z 4 8 L 1 N 0 Y W J s Z U V u d H J p Z X M + P C 9 J d G V t P j x J d G V t P j x J d G V t T G 9 j Y X R p b 2 4 + P E l 0 Z W 1 U e X B l P k Z v c m 1 1 b G E 8 L 0 l 0 Z W 1 U e X B l P j x J d G V t U G F 0 a D 5 T Z W N 0 a W 9 u M S 9 N Y X g l M j B k a X J l Y 3 Q l M j B y Z W R p c 3 R y a W J 1 d G l v b i U y M G l u J T I w U 0 N G L 1 N v d X J j Z T w v S X R l b V B h d G g + P C 9 J d G V t T G 9 j Y X R p b 2 4 + P F N 0 Y W J s Z U V u d H J p Z X M g L z 4 8 L 0 l 0 Z W 0 + P E l 0 Z W 0 + P E l 0 Z W 1 M b 2 N h d G l v b j 4 8 S X R l b V R 5 c G U + R m 9 y b X V s Y T w v S X R l b V R 5 c G U + P E l 0 Z W 1 Q Y X R o P l N l Y 3 R p b 2 4 x L 0 1 h e C U y M G R p c m V j d C U y M H J l Z G l z d H J p Y n V 0 a W 9 u J T I w a W 4 l M j B T Q 0 Y v Q 2 h h b m d l Z C U y M F R 5 c G U 8 L 0 l 0 Z W 1 Q Y X R o P j w v S X R l b U x v Y 2 F 0 a W 9 u P j x T d G F i b G V F b n R y a W V z I C 8 + P C 9 J d G V t P j x J d G V t P j x J d G V t T G 9 j Y X R p b 2 4 + P E l 0 Z W 1 U e X B l P k Z v c m 1 1 b G E 8 L 0 l 0 Z W 1 U e X B l P j x J d G V t U G F 0 a D 5 T Z W N 0 a W 9 u M S 9 N Y X g l M j B k a X J l Y 3 Q l M j B y Z W R p c 3 R y a W J 1 d G l v b i U y M G l u J T I w U 0 N G L 1 V u c G l 2 b 3 R l Z C U y M E N v b H V t b n M 8 L 0 l 0 Z W 1 Q Y X R o P j w v S X R l b U x v Y 2 F 0 a W 9 u P j x T d G F i b G V F b n R y a W V z I C 8 + P C 9 J d G V t P j x J d G V t P j x J d G V t T G 9 j Y X R p b 2 4 + P E l 0 Z W 1 U e X B l P k Z v c m 1 1 b G E 8 L 0 l 0 Z W 1 U e X B l P j x J d G V t U G F 0 a D 5 T Z W N 0 a W 9 u M S 9 N Y X g l M j B k a X J l Y 3 Q l M j B y Z W R p c 3 R y a W J 1 d G l v b i U y M G l u J T I w U 0 N G L 1 J l b m F t Z W Q l M j B D b 2 x 1 b W 5 z P C 9 J d G V t U G F 0 a D 4 8 L 0 l 0 Z W 1 M b 2 N h d G l v b j 4 8 U 3 R h Y m x l R W 5 0 c m l l c y A v P j w v S X R l b T 4 8 S X R l b T 4 8 S X R l b U x v Y 2 F 0 a W 9 u P j x J d G V t V H l w Z T 5 G b 3 J t d W x h P C 9 J d G V t V H l w Z T 4 8 S X R l b V B h d G g + U 2 V j d G l v b j E v V G 9 0 Y W w l M j B T Q 0 Y l M j B p b m N s J T I w b 3 d u J T I w Y 2 9 u d H J p Y n V 0 a W 9 u J T I w c G V y J T I w Y 2 F w a X R h P C 9 J d G V t U G F 0 a D 4 8 L 0 l 0 Z W 1 M b 2 N h d G l v b j 4 8 U 3 R h Y m x l R W 5 0 c m l l c z 4 8 R W 5 0 c n k g V H l w Z T 0 i S X N Q c m l 2 Y X R l I i B W Y W x 1 Z T 0 i b D A i I C 8 + P E V u d H J 5 I F R 5 c G U 9 I l F 1 Z X J 5 S U Q i I F Z h b H V l P S J z M j g 2 Z T N j Y z E t N W I 1 Y y 0 0 Z D F j L W E 0 M T A t O T c 3 Y T g 1 N z g w Y W F j I i A v P j x F b n R y e S B U e X B l P S J G a W x s R W 5 h Y m x l Z C 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G V k Q 2 9 t c G x l d G V S Z X N 1 b H R U b 1 d v c m t z a G V l d C I g V m F s d W U 9 I m w x I i A v P j x F b n R y e S B U e X B l P S J G a W x s R X J y b 3 J D b 3 V u d C I g V m F s d W U 9 I m w w I i A v P j x F b n R y e S B U e X B l P S J G a W x s R X J y b 3 J D b 2 R l I i B W Y W x 1 Z T 0 i c 1 V u a 2 5 v d 2 4 i I C 8 + P E V u d H J 5 I F R 5 c G U 9 I k Z p b G x U b 0 R h d G F N b 2 R l b E V u Y W J s Z W Q i I F Z h b H V l P S J s M C I g L z 4 8 R W 5 0 c n k g V H l w Z T 0 i R m l s b E 9 i a m V j d F R 5 c G U i I F Z h b H V l P S J z Q 2 9 u b m V j d G l v b k 9 u b H k i I C 8 + P E V u d H J 5 I F R 5 c G U 9 I k Z p b G x M Y X N 0 V X B k Y X R l Z C I g V m F s d W U 9 I m Q y M D I 1 L T E y L T E 2 V D E w O j Q 4 O j U 1 L j M x M z c 2 O D d a I i A v P j x F b n R y e S B U e X B l P S J G a W x s Q 2 9 s d W 1 u V H l w Z X M i I F Z h b H V l P S J z Q m d Z R i I g L z 4 8 R W 5 0 c n k g V H l w Z T 0 i R m l s b E N v d W 5 0 I i B W Y W x 1 Z T 0 i b D I 1 M i I g L z 4 8 R W 5 0 c n k g V H l w Z T 0 i R m l s b E N v b H V t b k 5 h b W V z I i B W Y W x 1 Z T 0 i c 1 s m c X V v d D t D b 3 V u d H J 5 J n F 1 b 3 Q 7 L C Z x d W 9 0 O 1 l l Y X I m c X V v d D s s J n F 1 b 3 Q 7 V G 9 0 Y W w g U 0 N G I G l u Y 2 w u I G 9 3 b i B j b 2 5 0 c m l i d X R p b 2 4 g c G V y I G N h c G l 0 Y S Z x d W 9 0 O 1 0 i I C 8 + P E V u d H J 5 I F R 5 c G U 9 I k F k Z G V k V G 9 E Y X R h T W 9 k Z W w i I F Z h b H V l P S J s M C I g L z 4 8 R W 5 0 c n k g V H l w Z T 0 i R m l s b F N 0 Y X R 1 c y I g V m F s d W U 9 I n N D b 2 1 w b G V 0 Z S I g L z 4 8 R W 5 0 c n k g V H l w Z T 0 i U m V s Y X R p b 2 5 z a G l w S W 5 m b 0 N v b n R h a W 5 l c i I g V m F s d W U 9 I n N 7 J n F 1 b 3 Q 7 Y 2 9 s d W 1 u Q 2 9 1 b n Q m c X V v d D s 6 M y w m c X V v d D t r Z X l D b 2 x 1 b W 5 O Y W 1 l c y Z x d W 9 0 O z p b X S w m c X V v d D t x d W V y e V J l b G F 0 a W 9 u c 2 h p c H M m c X V v d D s 6 W 1 0 s J n F 1 b 3 Q 7 Y 2 9 s d W 1 u S W R l b n R p d G l l c y Z x d W 9 0 O z p b J n F 1 b 3 Q 7 U 2 V j d G l v b j E v V G 9 0 Y W w g U 0 N G I G l u Y 2 w g b 3 d u I G N v b n R y a W J 1 d G l v b i B w Z X I g Y 2 F w a X R h L 0 F 1 d G 9 S Z W 1 v d m V k Q 2 9 s d W 1 u c z E u e 0 N v d W 5 0 c n k s M H 0 m c X V v d D s s J n F 1 b 3 Q 7 U 2 V j d G l v b j E v V G 9 0 Y W w g U 0 N G I G l u Y 2 w g b 3 d u I G N v b n R y a W J 1 d G l v b i B w Z X I g Y 2 F w a X R h L 0 F 1 d G 9 S Z W 1 v d m V k Q 2 9 s d W 1 u c z E u e 1 l l Y X I s M X 0 m c X V v d D s s J n F 1 b 3 Q 7 U 2 V j d G l v b j E v V G 9 0 Y W w g U 0 N G I G l u Y 2 w g b 3 d u I G N v b n R y a W J 1 d G l v b i B w Z X I g Y 2 F w a X R h L 0 F 1 d G 9 S Z W 1 v d m V k Q 2 9 s d W 1 u c z E u e 1 R v d G F s I F N D R i B p b m N s L i B v d 2 4 g Y 2 9 u d H J p Y n V 0 a W 9 u I H B l c i B j Y X B p d G E s M n 0 m c X V v d D t d L C Z x d W 9 0 O 0 N v b H V t b k N v d W 5 0 J n F 1 b 3 Q 7 O j M s J n F 1 b 3 Q 7 S 2 V 5 Q 2 9 s d W 1 u T m F t Z X M m c X V v d D s 6 W 1 0 s J n F 1 b 3 Q 7 Q 2 9 s d W 1 u S W R l b n R p d G l l c y Z x d W 9 0 O z p b J n F 1 b 3 Q 7 U 2 V j d G l v b j E v V G 9 0 Y W w g U 0 N G I G l u Y 2 w g b 3 d u I G N v b n R y a W J 1 d G l v b i B w Z X I g Y 2 F w a X R h L 0 F 1 d G 9 S Z W 1 v d m V k Q 2 9 s d W 1 u c z E u e 0 N v d W 5 0 c n k s M H 0 m c X V v d D s s J n F 1 b 3 Q 7 U 2 V j d G l v b j E v V G 9 0 Y W w g U 0 N G I G l u Y 2 w g b 3 d u I G N v b n R y a W J 1 d G l v b i B w Z X I g Y 2 F w a X R h L 0 F 1 d G 9 S Z W 1 v d m V k Q 2 9 s d W 1 u c z E u e 1 l l Y X I s M X 0 m c X V v d D s s J n F 1 b 3 Q 7 U 2 V j d G l v b j E v V G 9 0 Y W w g U 0 N G I G l u Y 2 w g b 3 d u I G N v b n R y a W J 1 d G l v b i B w Z X I g Y 2 F w a X R h L 0 F 1 d G 9 S Z W 1 v d m V k Q 2 9 s d W 1 u c z E u e 1 R v d G F s I F N D R i B p b m N s L i B v d 2 4 g Y 2 9 u d H J p Y n V 0 a W 9 u I H B l c i B j Y X B p d G E s M n 0 m c X V v d D t d L C Z x d W 9 0 O 1 J l b G F 0 a W 9 u c 2 h p c E l u Z m 8 m c X V v d D s 6 W 1 1 9 I i A v P j w v U 3 R h Y m x l R W 5 0 c m l l c z 4 8 L 0 l 0 Z W 0 + P E l 0 Z W 0 + P E l 0 Z W 1 M b 2 N h d G l v b j 4 8 S X R l b V R 5 c G U + R m 9 y b X V s Y T w v S X R l b V R 5 c G U + P E l 0 Z W 1 Q Y X R o P l N l Y 3 R p b 2 4 x L 1 R v d G F s J T I w U 0 N G J T I w a W 5 j b C U y M G 9 3 b i U y M G N v b n R y a W J 1 d G l v b i U y M H B l c i U y M G N h c G l 0 Y S 9 T b 3 V y Y 2 U 8 L 0 l 0 Z W 1 Q Y X R o P j w v S X R l b U x v Y 2 F 0 a W 9 u P j x T d G F i b G V F b n R y a W V z I C 8 + P C 9 J d G V t P j x J d G V t P j x J d G V t T G 9 j Y X R p b 2 4 + P E l 0 Z W 1 U e X B l P k Z v c m 1 1 b G E 8 L 0 l 0 Z W 1 U e X B l P j x J d G V t U G F 0 a D 5 T Z W N 0 a W 9 u M S 9 U b 3 R h b C U y M F N D R i U y M G l u Y 2 w l M j B v d 2 4 l M j B j b 2 5 0 c m l i d X R p b 2 4 l M j B w Z X I l M j B j Y X B p d G E v Q 2 h h b m d l Z C U y M F R 5 c G U 8 L 0 l 0 Z W 1 Q Y X R o P j w v S X R l b U x v Y 2 F 0 a W 9 u P j x T d G F i b G V F b n R y a W V z I C 8 + P C 9 J d G V t P j x J d G V t P j x J d G V t T G 9 j Y X R p b 2 4 + P E l 0 Z W 1 U e X B l P k Z v c m 1 1 b G E 8 L 0 l 0 Z W 1 U e X B l P j x J d G V t U G F 0 a D 5 T Z W N 0 a W 9 u M S 9 U b 3 R h b C U y M F N D R i U y M G l u Y 2 w l M j B v d 2 4 l M j B j b 2 5 0 c m l i d X R p b 2 4 l M j B w Z X I l M j B j Y X B p d G E v V W 5 w a X Z v d G V k J T I w Q 2 9 s d W 1 u c z w v S X R l b V B h d G g + P C 9 J d G V t T G 9 j Y X R p b 2 4 + P F N 0 Y W J s Z U V u d H J p Z X M g L z 4 8 L 0 l 0 Z W 0 + P E l 0 Z W 0 + P E l 0 Z W 1 M b 2 N h d G l v b j 4 8 S X R l b V R 5 c G U + R m 9 y b X V s Y T w v S X R l b V R 5 c G U + P E l 0 Z W 1 Q Y X R o P l N l Y 3 R p b 2 4 x L 1 R v d G F s J T I w U 0 N G J T I w a W 5 j b C U y M G 9 3 b i U y M G N v b n R y a W J 1 d G l v b i U y M H B l c i U y M G N h c G l 0 Y S 9 S Z W 5 h b W V k J T I w Q 2 9 s d W 1 u c z w v S X R l b V B h d G g + P C 9 J d G V t T G 9 j Y X R p b 2 4 + P F N 0 Y W J s Z U V u d H J p Z X M g L z 4 8 L 0 l 0 Z W 0 + P E l 0 Z W 0 + P E l 0 Z W 1 M b 2 N h d G l v b j 4 8 S X R l b V R 5 c G U + R m 9 y b X V s Y T w v S X R l b V R 5 c G U + P E l 0 Z W 1 Q Y X R o P l N l Y 3 R p b 2 4 x L 1 J l c 3 Q l M j B v Z i U y M E V U U z I l M j B y Z X Z l b n V l c y U y M G F m d G V y J T I w b 3 d u J T I w Y 2 9 u d H J p Y n V 0 a W 9 u J T I w c G V y J T I w Y 2 F w a X R h P C 9 J d G V t U G F 0 a D 4 8 L 0 l 0 Z W 1 M b 2 N h d G l v b j 4 8 U 3 R h Y m x l R W 5 0 c m l l c z 4 8 R W 5 0 c n k g V H l w Z T 0 i S X N Q c m l 2 Y X R l I i B W Y W x 1 Z T 0 i b D A i I C 8 + P E V u d H J 5 I F R 5 c G U 9 I k Z p b G x F b m F i b G V k I i B W Y W x 1 Z T 0 i b D A i I C 8 + P E V u d H J 5 I F R 5 c G U 9 I l F 1 Z X J 5 S U Q i I F Z h b H V l P S J z O D I w Z j k x N G M t O G Q 5 Y i 0 0 O D l i L T l h N T Y t Y W M y N m Y 1 Y m Y 3 M D k 4 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G V k Q 2 9 t c G x l d G V S Z X N 1 b H R U b 1 d v c m t z a G V l d C I g V m F s d W U 9 I m w x I i A v P j x F b n R y e S B U e X B l P S J G a W x s R X J y b 3 J D b 3 V u d C I g V m F s d W U 9 I m w w I i A v P j x F b n R y e S B U e X B l P S J G a W x s R X J y b 3 J D b 2 R l I i B W Y W x 1 Z T 0 i c 1 V u a 2 5 v d 2 4 i I C 8 + P E V u d H J 5 I F R 5 c G U 9 I k Z p b G x U b 0 R h d G F N b 2 R l b E V u Y W J s Z W Q i I F Z h b H V l P S J s M C I g L z 4 8 R W 5 0 c n k g V H l w Z T 0 i R m l s b E 9 i a m V j d F R 5 c G U i I F Z h b H V l P S J z Q 2 9 u b m V j d G l v b k 9 u b H k i I C 8 + P E V u d H J 5 I F R 5 c G U 9 I k Z p b G x M Y X N 0 V X B k Y X R l Z C I g V m F s d W U 9 I m Q y M D I 1 L T E y L T E 2 V D E w O j Q 4 O j U 1 L j M x N T g 5 M T Z a I i A v P j x F b n R y e S B U e X B l P S J G a W x s Q 2 9 s d W 1 u V H l w Z X M i I F Z h b H V l P S J z Q m d Z Q S I g L z 4 8 R W 5 0 c n k g V H l w Z T 0 i R m l s b E N v d W 5 0 I i B W Y W x 1 Z T 0 i b D E 5 N i I g L z 4 8 R W 5 0 c n k g V H l w Z T 0 i R m l s b E N v b H V t b k 5 h b W V z I i B W Y W x 1 Z T 0 i c 1 s m c X V v d D t D b 3 V u d H J 5 J n F 1 b 3 Q 7 L C Z x d W 9 0 O 1 l l Y X I m c X V v d D s s J n F 1 b 3 Q 7 U m V z d C B v Z i B F V F M y I H J l d m V u d W V z I G F m d G V y I G 9 3 b i B j b 2 5 0 c m l i d X R p b 2 4 g c G V y I G N h c G l 0 Y S Z x d W 9 0 O 1 0 i I C 8 + P E V u d H J 5 I F R 5 c G U 9 I k F k Z G V k V G 9 E Y X R h T W 9 k Z W w i I F Z h b H V l P S J s M C I g L z 4 8 R W 5 0 c n k g V H l w Z T 0 i R m l s b F N 0 Y X R 1 c y I g V m F s d W U 9 I n N D b 2 1 w b G V 0 Z S I g L z 4 8 R W 5 0 c n k g V H l w Z T 0 i U m V s Y X R p b 2 5 z a G l w S W 5 m b 0 N v b n R h a W 5 l c i I g V m F s d W U 9 I n N 7 J n F 1 b 3 Q 7 Y 2 9 s d W 1 u Q 2 9 1 b n Q m c X V v d D s 6 M y w m c X V v d D t r Z X l D b 2 x 1 b W 5 O Y W 1 l c y Z x d W 9 0 O z p b X S w m c X V v d D t x d W V y e V J l b G F 0 a W 9 u c 2 h p c H M m c X V v d D s 6 W 1 0 s J n F 1 b 3 Q 7 Y 2 9 s d W 1 u S W R l b n R p d G l l c y Z x d W 9 0 O z p b J n F 1 b 3 Q 7 U 2 V j d G l v b j E v U m V z d C B v Z i B F V F M y I H J l d m V u d W V z I G F m d G V y I G 9 3 b i B j b 2 5 0 c m l i d X R p b 2 4 g c G V y I G N h c G l 0 Y S 9 B d X R v U m V t b 3 Z l Z E N v b H V t b n M x L n t D b 3 V u d H J 5 L D B 9 J n F 1 b 3 Q 7 L C Z x d W 9 0 O 1 N l Y 3 R p b 2 4 x L 1 J l c 3 Q g b 2 Y g R V R T M i B y Z X Z l b n V l c y B h Z n R l c i B v d 2 4 g Y 2 9 u d H J p Y n V 0 a W 9 u I H B l c i B j Y X B p d G E v Q X V 0 b 1 J l b W 9 2 Z W R D b 2 x 1 b W 5 z M S 5 7 W W V h c i w x f S Z x d W 9 0 O y w m c X V v d D t T Z W N 0 a W 9 u M S 9 S Z X N 0 I G 9 m I E V U U z I g c m V 2 Z W 5 1 Z X M g Y W Z 0 Z X I g b 3 d u I G N v b n R y a W J 1 d G l v b i B w Z X I g Y 2 F w a X R h L 0 F 1 d G 9 S Z W 1 v d m V k Q 2 9 s d W 1 u c z E u e 1 J l c 3 Q g b 2 Y g R V R T M i B y Z X Z l b n V l c y B h Z n R l c i B v d 2 4 g Y 2 9 u d H J p Y n V 0 a W 9 u I H B l c i B j Y X B p d G E s M n 0 m c X V v d D t d L C Z x d W 9 0 O 0 N v b H V t b k N v d W 5 0 J n F 1 b 3 Q 7 O j M s J n F 1 b 3 Q 7 S 2 V 5 Q 2 9 s d W 1 u T m F t Z X M m c X V v d D s 6 W 1 0 s J n F 1 b 3 Q 7 Q 2 9 s d W 1 u S W R l b n R p d G l l c y Z x d W 9 0 O z p b J n F 1 b 3 Q 7 U 2 V j d G l v b j E v U m V z d C B v Z i B F V F M y I H J l d m V u d W V z I G F m d G V y I G 9 3 b i B j b 2 5 0 c m l i d X R p b 2 4 g c G V y I G N h c G l 0 Y S 9 B d X R v U m V t b 3 Z l Z E N v b H V t b n M x L n t D b 3 V u d H J 5 L D B 9 J n F 1 b 3 Q 7 L C Z x d W 9 0 O 1 N l Y 3 R p b 2 4 x L 1 J l c 3 Q g b 2 Y g R V R T M i B y Z X Z l b n V l c y B h Z n R l c i B v d 2 4 g Y 2 9 u d H J p Y n V 0 a W 9 u I H B l c i B j Y X B p d G E v Q X V 0 b 1 J l b W 9 2 Z W R D b 2 x 1 b W 5 z M S 5 7 W W V h c i w x f S Z x d W 9 0 O y w m c X V v d D t T Z W N 0 a W 9 u M S 9 S Z X N 0 I G 9 m I E V U U z I g c m V 2 Z W 5 1 Z X M g Y W Z 0 Z X I g b 3 d u I G N v b n R y a W J 1 d G l v b i B w Z X I g Y 2 F w a X R h L 0 F 1 d G 9 S Z W 1 v d m V k Q 2 9 s d W 1 u c z E u e 1 J l c 3 Q g b 2 Y g R V R T M i B y Z X Z l b n V l c y B h Z n R l c i B v d 2 4 g Y 2 9 u d H J p Y n V 0 a W 9 u I H B l c i B j Y X B p d G E s M n 0 m c X V v d D t d L C Z x d W 9 0 O 1 J l b G F 0 a W 9 u c 2 h p c E l u Z m 8 m c X V v d D s 6 W 1 1 9 I i A v P j w v U 3 R h Y m x l R W 5 0 c m l l c z 4 8 L 0 l 0 Z W 0 + P E l 0 Z W 0 + P E l 0 Z W 1 M b 2 N h d G l v b j 4 8 S X R l b V R 5 c G U + R m 9 y b X V s Y T w v S X R l b V R 5 c G U + P E l 0 Z W 1 Q Y X R o P l N l Y 3 R p b 2 4 x L 1 J l c 3 Q l M j B v Z i U y M E V U U z I l M j B y Z X Z l b n V l c y U y M G F m d G V y J T I w b 3 d u J T I w Y 2 9 u d H J p Y n V 0 a W 9 u J T I w c G V y J T I w Y 2 F w a X R h L 1 N v d X J j Z T w v S X R l b V B h d G g + P C 9 J d G V t T G 9 j Y X R p b 2 4 + P F N 0 Y W J s Z U V u d H J p Z X M g L z 4 8 L 0 l 0 Z W 0 + P E l 0 Z W 0 + P E l 0 Z W 1 M b 2 N h d G l v b j 4 8 S X R l b V R 5 c G U + R m 9 y b X V s Y T w v S X R l b V R 5 c G U + P E l 0 Z W 1 Q Y X R o P l N l Y 3 R p b 2 4 x L 1 J l c 3 Q l M j B v Z i U y M E V U U z I l M j B y Z X Z l b n V l c y U y M G F m d G V y J T I w b 3 d u J T I w Y 2 9 u d H J p Y n V 0 a W 9 u J T I w c G V y J T I w Y 2 F w a X R h L 0 N o Y W 5 n Z W Q l M j B U e X B l P C 9 J d G V t U G F 0 a D 4 8 L 0 l 0 Z W 1 M b 2 N h d G l v b j 4 8 U 3 R h Y m x l R W 5 0 c m l l c y A v P j w v S X R l b T 4 8 S X R l b T 4 8 S X R l b U x v Y 2 F 0 a W 9 u P j x J d G V t V H l w Z T 5 G b 3 J t d W x h P C 9 J d G V t V H l w Z T 4 8 S X R l b V B h d G g + U 2 V j d G l v b j E v U m V z d C U y M G 9 m J T I w R V R T M i U y M H J l d m V u d W V z J T I w Y W Z 0 Z X I l M j B v d 2 4 l M j B j b 2 5 0 c m l i d X R p b 2 4 l M j B w Z X I l M j B j Y X B p d G E v V W 5 w a X Z v d G V k J T I w Q 2 9 s d W 1 u c z w v S X R l b V B h d G g + P C 9 J d G V t T G 9 j Y X R p b 2 4 + P F N 0 Y W J s Z U V u d H J p Z X M g L z 4 8 L 0 l 0 Z W 0 + P E l 0 Z W 0 + P E l 0 Z W 1 M b 2 N h d G l v b j 4 8 S X R l b V R 5 c G U + R m 9 y b X V s Y T w v S X R l b V R 5 c G U + P E l 0 Z W 1 Q Y X R o P l N l Y 3 R p b 2 4 x L 1 J l c 3 Q l M j B v Z i U y M E V U U z I l M j B y Z X Z l b n V l c y U y M G F m d G V y J T I w b 3 d u J T I w Y 2 9 u d H J p Y n V 0 a W 9 u J T I w c G V y J T I w Y 2 F w a X R h L 1 J l b m F t Z W Q l M j B D b 2 x 1 b W 5 z P C 9 J d G V t U G F 0 a D 4 8 L 0 l 0 Z W 1 M b 2 N h d G l v b j 4 8 U 3 R h Y m x l R W 5 0 c m l l c y A v P j w v S X R l b T 4 8 S X R l b T 4 8 S X R l b U x v Y 2 F 0 a W 9 u P j x J d G V t V H l w Z T 5 G b 3 J t d W x h P C 9 J d G V t V H l w Z T 4 8 S X R l b V B h d G g + U 2 V j d G l v b j E v U 0 N G J T I w c m V 2 Z W 5 1 Z X M 8 L 0 l 0 Z W 1 Q Y X R o P j w v S X R l b U x v Y 2 F 0 a W 9 u P j x T d G F i b G V F b n R y a W V z P j x F b n R y e S B U e X B l P S J J c 1 B y a X Z h d G U i I F Z h b H V l P S J s M C I g L z 4 8 R W 5 0 c n k g V H l w Z T 0 i U X V l c n l J R C I g V m F s d W U 9 I n N k M W Q 4 O G R i O C 1 l Y z k 2 L T R m Y W E t Y j R m M y 0 3 M j U 3 Y m U w N z J i Y m Q i I C 8 + P E V u d H J 5 I F R 5 c G U 9 I k Z p b G x F b m F i b G V k 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Z W R D b 2 1 w b G V 0 Z V J l c 3 V s d F R v V 2 9 y a 3 N o Z W V 0 I i B W Y W x 1 Z T 0 i b D E i I C 8 + P E V u d H J 5 I F R 5 c G U 9 I k Z p b G x F c n J v c k N v d W 5 0 I i B W Y W x 1 Z T 0 i b D A i I C 8 + P E V u d H J 5 I F R 5 c G U 9 I k Z p b G x F c n J v c k N v Z G U i I F Z h b H V l P S J z V W 5 r b m 9 3 b i I g L z 4 8 R W 5 0 c n k g V H l w Z T 0 i R m l s b F R v R G F 0 Y U 1 v Z G V s R W 5 h Y m x l Z C I g V m F s d W U 9 I m w w I i A v P j x F b n R y e S B U e X B l P S J G a W x s T 2 J q Z W N 0 V H l w Z S I g V m F s d W U 9 I n N D b 2 5 u Z W N 0 a W 9 u T 2 5 s e S I g L z 4 8 R W 5 0 c n k g V H l w Z T 0 i R m l s b E x h c 3 R V c G R h d G V k I i B W Y W x 1 Z T 0 i Z D I w M j U t M T I t M T Z U M T A 6 N D g 6 N T U u M z I 0 N T U 5 O V o i I C 8 + P E V u d H J 5 I F R 5 c G U 9 I k Z p b G x D b 2 x 1 b W 5 U e X B l c y I g V m F s d W U 9 I n N C Z 1 l G I i A v P j x F b n R y e S B U e X B l P S J G a W x s Q 2 9 1 b n Q i I F Z h b H V l P S J s M j U y I i A v P j x F b n R y e S B U e X B l P S J G a W x s Q 2 9 s d W 1 u T m F t Z X M i I F Z h b H V l P S J z W y Z x d W 9 0 O 0 N v d W 5 0 c n k m c X V v d D s s J n F 1 b 3 Q 7 W W V h c i Z x d W 9 0 O y w m c X V v d D t T Q 0 Y g c m V 2 Z W 5 1 Z X M m c X V v d D t d I i A v P j x F b n R y e S B U e X B l P S J B Z G R l Z F R v R G F 0 Y U 1 v Z G V s I i B W Y W x 1 Z T 0 i b D A i I C 8 + P E V u d H J 5 I F R 5 c G U 9 I k Z p b G x T d G F 0 d X M i I F Z h b H V l P S J z Q 2 9 t c G x l d G U i I C 8 + P E V u d H J 5 I F R 5 c G U 9 I l J l b G F 0 a W 9 u c 2 h p c E l u Z m 9 D b 2 5 0 Y W l u Z X I i I F Z h b H V l P S J z e y Z x d W 9 0 O 2 N v b H V t b k N v d W 5 0 J n F 1 b 3 Q 7 O j M s J n F 1 b 3 Q 7 a 2 V 5 Q 2 9 s d W 1 u T m F t Z X M m c X V v d D s 6 W 1 0 s J n F 1 b 3 Q 7 c X V l c n l S Z W x h d G l v b n N o a X B z J n F 1 b 3 Q 7 O l t d L C Z x d W 9 0 O 2 N v b H V t b k l k Z W 5 0 a X R p Z X M m c X V v d D s 6 W y Z x d W 9 0 O 1 N l Y 3 R p b 2 4 x L 1 N D R i B y Z X Z l b n V l c y 9 B d X R v U m V t b 3 Z l Z E N v b H V t b n M x L n t D b 3 V u d H J 5 L D B 9 J n F 1 b 3 Q 7 L C Z x d W 9 0 O 1 N l Y 3 R p b 2 4 x L 1 N D R i B y Z X Z l b n V l c y 9 B d X R v U m V t b 3 Z l Z E N v b H V t b n M x L n t Z Z W F y L D F 9 J n F 1 b 3 Q 7 L C Z x d W 9 0 O 1 N l Y 3 R p b 2 4 x L 1 N D R i B y Z X Z l b n V l c y 9 B d X R v U m V t b 3 Z l Z E N v b H V t b n M x L n t T Q 0 Y g c m V 2 Z W 5 1 Z X M s M n 0 m c X V v d D t d L C Z x d W 9 0 O 0 N v b H V t b k N v d W 5 0 J n F 1 b 3 Q 7 O j M s J n F 1 b 3 Q 7 S 2 V 5 Q 2 9 s d W 1 u T m F t Z X M m c X V v d D s 6 W 1 0 s J n F 1 b 3 Q 7 Q 2 9 s d W 1 u S W R l b n R p d G l l c y Z x d W 9 0 O z p b J n F 1 b 3 Q 7 U 2 V j d G l v b j E v U 0 N G I H J l d m V u d W V z L 0 F 1 d G 9 S Z W 1 v d m V k Q 2 9 s d W 1 u c z E u e 0 N v d W 5 0 c n k s M H 0 m c X V v d D s s J n F 1 b 3 Q 7 U 2 V j d G l v b j E v U 0 N G I H J l d m V u d W V z L 0 F 1 d G 9 S Z W 1 v d m V k Q 2 9 s d W 1 u c z E u e 1 l l Y X I s M X 0 m c X V v d D s s J n F 1 b 3 Q 7 U 2 V j d G l v b j E v U 0 N G I H J l d m V u d W V z L 0 F 1 d G 9 S Z W 1 v d m V k Q 2 9 s d W 1 u c z E u e 1 N D R i B y Z X Z l b n V l c y w y f S Z x d W 9 0 O 1 0 s J n F 1 b 3 Q 7 U m V s Y X R p b 2 5 z a G l w S W 5 m b y Z x d W 9 0 O z p b X X 0 i I C 8 + P C 9 T d G F i b G V F b n R y a W V z P j w v S X R l b T 4 8 S X R l b T 4 8 S X R l b U x v Y 2 F 0 a W 9 u P j x J d G V t V H l w Z T 5 G b 3 J t d W x h P C 9 J d G V t V H l w Z T 4 8 S X R l b V B h d G g + U 2 V j d G l v b j E v U 0 N G J T I w c m V 2 Z W 5 1 Z X M v U 2 9 1 c m N l P C 9 J d G V t U G F 0 a D 4 8 L 0 l 0 Z W 1 M b 2 N h d G l v b j 4 8 U 3 R h Y m x l R W 5 0 c m l l c y A v P j w v S X R l b T 4 8 S X R l b T 4 8 S X R l b U x v Y 2 F 0 a W 9 u P j x J d G V t V H l w Z T 5 G b 3 J t d W x h P C 9 J d G V t V H l w Z T 4 8 S X R l b V B h d G g + U 2 V j d G l v b j E v U 0 N G J T I w c m V 2 Z W 5 1 Z X M v Q 2 h h b m d l Z C U y M F R 5 c G U 8 L 0 l 0 Z W 1 Q Y X R o P j w v S X R l b U x v Y 2 F 0 a W 9 u P j x T d G F i b G V F b n R y a W V z I C 8 + P C 9 J d G V t P j x J d G V t P j x J d G V t T G 9 j Y X R p b 2 4 + P E l 0 Z W 1 U e X B l P k Z v c m 1 1 b G E 8 L 0 l 0 Z W 1 U e X B l P j x J d G V t U G F 0 a D 5 T Z W N 0 a W 9 u M S 9 T Q 0 Y l M j B y Z X Z l b n V l c y 9 V b n B p d m 9 0 Z W Q l M j B D b 2 x 1 b W 5 z P C 9 J d G V t U G F 0 a D 4 8 L 0 l 0 Z W 1 M b 2 N h d G l v b j 4 8 U 3 R h Y m x l R W 5 0 c m l l c y A v P j w v S X R l b T 4 8 S X R l b T 4 8 S X R l b U x v Y 2 F 0 a W 9 u P j x J d G V t V H l w Z T 5 G b 3 J t d W x h P C 9 J d G V t V H l w Z T 4 8 S X R l b V B h d G g + U 2 V j d G l v b j E v U 0 N G J T I w c m V 2 Z W 5 1 Z X M v U m V u Y W 1 l Z C U y M E N v b H V t b n M 8 L 0 l 0 Z W 1 Q Y X R o P j w v S X R l b U x v Y 2 F 0 a W 9 u P j x T d G F i b G V F b n R y a W V z I C 8 + P C 9 J d G V t P j x J d G V t P j x J d G V t T G 9 j Y X R p b 2 4 + P E l 0 Z W 1 U e X B l P k Z v c m 1 1 b G E 8 L 0 l 0 Z W 1 U e X B l P j x J d G V t U G F 0 a D 5 T Z W N 0 a W 9 u M S 9 B c H B l b m Q y P C 9 J d G V t U G F 0 a D 4 8 L 0 l 0 Z W 1 M b 2 N h d G l v b j 4 8 U 3 R h Y m x l R W 5 0 c m l l c z 4 8 R W 5 0 c n k g V H l w Z T 0 i S X N Q c m l 2 Y X R l I i B W Y W x 1 Z T 0 i b D A i I C 8 + P E V u d H J 5 I F R 5 c G U 9 I l F 1 Z X J 5 S U Q i I F Z h b H V l P S J z Z W U 3 Z W I 1 M W E t N D c 4 Z S 0 0 N D g w L T k y Y m Q t Z D R i M T A y M j l i M z N i I i A v P j x F b n R y e S B U e X B l P S J G a W x s R W 5 h Y m x l Z C I g V m F s d W U 9 I m w x 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F R h c m d l d C I g V m F s d W U 9 I n N B c H B l b m Q y I i A v P j x F b n R y e S B U e X B l P S J G a W x s Z W R D b 2 1 w b G V 0 Z V J l c 3 V s d F R v V 2 9 y a 3 N o Z W V 0 I i B W Y W x 1 Z T 0 i b D E i I C 8 + P E V u d H J 5 I F R 5 c G U 9 I k Z p b G x U b 0 R h d G F N b 2 R l b E V u Y W J s Z W Q i I F Z h b H V l P S J s M C I g L z 4 8 R W 5 0 c n k g V H l w Z T 0 i R m l s b E 9 i a m V j d F R 5 c G U i I F Z h b H V l P S J z V G F i b G U i I C 8 + P E V u d H J 5 I F R 5 c G U 9 I k Z p b G x F c n J v c k N v d W 5 0 I i B W Y W x 1 Z T 0 i b D A i I C 8 + P E V u d H J 5 I F R 5 c G U 9 I k Z p b G x M Y X N 0 V X B k Y X R l Z C I g V m F s d W U 9 I m Q y M D I 1 L T E y L T E 2 V D E w O j Q 4 O j U 0 L j Y 0 O T A 1 N j V a I i A v P j x F b n R y e S B U e X B l P S J G a W x s Q 2 9 s d W 1 u V H l w Z X M i I F Z h b H V l P S J z Q m d Z R k F B V U Z B Q V V G Q l F B R k J R V U F B Q U F B Q U F B Q U F B V U F B Q T 0 9 I i A v P j x F b n R y e S B U e X B l P S J G a W x s R X J y b 3 J D b 2 R l I i B W Y W x 1 Z T 0 i c 1 V u a 2 5 v d 2 4 i I C 8 + P E V u d H J 5 I F R 5 c G U 9 I k Z p b G x D b 3 V u d C I g V m F s d W U 9 I m w 1 M D Q y I i A v P j x F b n R y e S B U e X B l P S J G a W x s Q 2 9 s d W 1 u T m F t Z X M i I F Z h b H V l P S J z W y Z x d W 9 0 O 0 N v d W 5 0 c n k m c X V v d D s s J n F 1 b 3 Q 7 W W V h c i Z x d W 9 0 O y w m c X V v d D t T Q 0 Y g c m V 2 Z W 5 1 Z X M m c X V v d D s s J n F 1 b 3 Q 7 R V R T M i B h d W N 0 a W 9 u I H J l d m V u d W V z I G 9 1 d G l k Z S B T Q 0 Y m c X V v d D s s J n F 1 b 3 Q 7 T W l u L i B v d 2 4 g Y 2 9 u d H J p Y n V 0 a W 9 u I H R v I G V 4 c G V u c 2 V z I G J 5 I E 1 T I H R v I F N D R i Z x d W 9 0 O y w m c X V v d D t U b 3 R h b C B T Q 0 Y g a W 5 j b C 4 g b 3 d u I G N v b n R y a W J 1 d G l v b i Z x d W 9 0 O y w m c X V v d D t S Z X N 0 I G 9 m I E V U U z I g c m V 2 Z W 5 1 Z X M g Y W Z 0 Z X I g b 3 d u I G N v b n R y a W J 1 d G l v b i Z x d W 9 0 O y w m c X V v d D t U b 3 R h b C B F V F M y I C s g U 0 N G I H J l d m V u d W V z J n F 1 b 3 Q 7 L C Z x d W 9 0 O 0 1 h e C B k a X J l Y 3 Q g c m V k a X N 0 c m l i d X R p b 2 4 g a W 4 g U 0 N G J n F 1 b 3 Q 7 L C Z x d W 9 0 O 1 R v d G F s I F N D R i B p b m N s L i B v d 2 4 g Y 2 9 u d H J p Y n V 0 a W 9 u I H B l c i B j Y X B p d G E m c X V v d D s s J n F 1 b 3 Q 7 U m V z d C B v Z i B F V F M y I H J l d m V u d W V z I G F m d G V y I G 9 3 b i B j b 2 5 0 c m l i d X R p b 2 4 g c G V y I G N h c G l 0 Y S Z x d W 9 0 O y w m c X V v d D t N Y X h p b X V t I G R p c m V j d C B y Z W R p c 3 R y a W J 1 d G l v b i B p b i B T Q 0 Y g c G V y I G N h c G l 0 Y S Z x d W 9 0 O y w m c X V v d D t N Y X g g c m V k a X N 0 c m l i d X R p b 2 4 g c G V y I G N h c G l 0 Y S A t I G x v d 2 V y I G l u Y 2 9 t Z S B o b 3 V z Z W h v b G R z J n F 1 b 3 Q 7 L C Z x d W 9 0 O 0 1 h e C B y Z W R p c 3 R y a W J 1 d G l v b i B 0 b y B w b 3 A g Y X Q g c m l z a y B v Z i B w b 3 Z l c n R 5 J n F 1 b 3 Q 7 L C Z x d W 9 0 O 0 Z y b 2 5 0 b G 9 h Z G l u Z y Z x d W 9 0 O y w m c X V v d D t G c m 9 u d G x v Y W R p b m c g c G V y I G N h c C Z x d W 9 0 O y w m c X V v d D t E S V M g c G V y I G N h c C Z x d W 9 0 O y w m c X V v d D t B b G w g c m V 2 Z W 5 1 Z X M g U G V y I G N h c C B s b 3 c m c X V v d D s s J n F 1 b 3 Q 7 Q W x s I H J l d m V u d W V z I H B l c i B j Y X A g c G 9 2 Z X J 0 e S Z x d W 9 0 O y w m c X V v d D t S Z X Z l b n V l J n F 1 b 3 Q 7 L C Z x d W 9 0 O 0 R p c m V j d C B J b m N v b W U g U 3 V w c G 9 y d C Z x d W 9 0 O y w m c X V v d D t T b 2 N p Y W x F V i Z x d W 9 0 O y w m c X V v d D t T b 2 N p Y W x M Z W F z a W 5 n I E h Q J n F 1 b 3 Q 7 L C Z x d W 9 0 O 0 V U U z J S Z X N 0 K 0 Z M K 0 9 3 b i Z x d W 9 0 O y w m c X V v d D t E S V M t Y 2 F w a X R h L W F k a n V z d C Z x d W 9 0 O 1 0 i I C 8 + P E V u d H J 5 I F R 5 c G U 9 I k F k Z G V k V G 9 E Y X R h T W 9 k Z W w i I F Z h b H V l P S J s M C I g L z 4 8 R W 5 0 c n k g V H l w Z T 0 i R m l s b F N 0 Y X R 1 c y I g V m F s d W U 9 I n N D b 2 1 w b G V 0 Z S I g L z 4 8 R W 5 0 c n k g V H l w Z T 0 i U m V s Y X R p b 2 5 z a G l w S W 5 m b 0 N v b n R h a W 5 l c i I g V m F s d W U 9 I n N 7 J n F 1 b 3 Q 7 Y 2 9 s d W 1 u Q 2 9 1 b n Q m c X V v d D s 6 M j U s J n F 1 b 3 Q 7 a 2 V 5 Q 2 9 s d W 1 u T m F t Z X M m c X V v d D s 6 W 1 0 s J n F 1 b 3 Q 7 c X V l c n l S Z W x h d G l v b n N o a X B z J n F 1 b 3 Q 7 O l t d L C Z x d W 9 0 O 2 N v b H V t b k l k Z W 5 0 a X R p Z X M m c X V v d D s 6 W y Z x d W 9 0 O 1 N l Y 3 R p b 2 4 x L 0 F w c G V u Z D I v Q X V 0 b 1 J l b W 9 2 Z W R D b 2 x 1 b W 5 z M S 5 7 Q 2 9 1 b n R y e S w w f S Z x d W 9 0 O y w m c X V v d D t T Z W N 0 a W 9 u M S 9 B c H B l b m Q y L 0 F 1 d G 9 S Z W 1 v d m V k Q 2 9 s d W 1 u c z E u e 1 l l Y X I s M X 0 m c X V v d D s s J n F 1 b 3 Q 7 U 2 V j d G l v b j E v Q X B w Z W 5 k M i 9 B d X R v U m V t b 3 Z l Z E N v b H V t b n M x L n t T Q 0 Y g c m V 2 Z W 5 1 Z X M s M n 0 m c X V v d D s s J n F 1 b 3 Q 7 U 2 V j d G l v b j E v Q X B w Z W 5 k M i 9 B d X R v U m V t b 3 Z l Z E N v b H V t b n M x L n t F V F M y I G F 1 Y 3 R p b 2 4 g c m V 2 Z W 5 1 Z X M g b 3 V 0 a W R l I F N D R i w z f S Z x d W 9 0 O y w m c X V v d D t T Z W N 0 a W 9 u M S 9 B c H B l b m Q y L 0 F 1 d G 9 S Z W 1 v d m V k Q 2 9 s d W 1 u c z E u e 0 1 p b i 4 g b 3 d u I G N v b n R y a W J 1 d G l v b i B 0 b y B l e H B l b n N l c y B i e S B N U y B 0 b y B T Q 0 Y s N H 0 m c X V v d D s s J n F 1 b 3 Q 7 U 2 V j d G l v b j E v Q X B w Z W 5 k M i 9 B d X R v U m V t b 3 Z l Z E N v b H V t b n M x L n t U b 3 R h b C B T Q 0 Y g a W 5 j b C 4 g b 3 d u I G N v b n R y a W J 1 d G l v b i w 1 f S Z x d W 9 0 O y w m c X V v d D t T Z W N 0 a W 9 u M S 9 B c H B l b m Q y L 0 F 1 d G 9 S Z W 1 v d m V k Q 2 9 s d W 1 u c z E u e 1 J l c 3 Q g b 2 Y g R V R T M i B y Z X Z l b n V l c y B h Z n R l c i B v d 2 4 g Y 2 9 u d H J p Y n V 0 a W 9 u L D Z 9 J n F 1 b 3 Q 7 L C Z x d W 9 0 O 1 N l Y 3 R p b 2 4 x L 0 F w c G V u Z D I v Q X V 0 b 1 J l b W 9 2 Z W R D b 2 x 1 b W 5 z M S 5 7 V G 9 0 Y W w g R V R T M i A r I F N D R i B y Z X Z l b n V l c y w 3 f S Z x d W 9 0 O y w m c X V v d D t T Z W N 0 a W 9 u M S 9 B c H B l b m Q y L 0 F 1 d G 9 S Z W 1 v d m V k Q 2 9 s d W 1 u c z E u e 0 1 h e C B k a X J l Y 3 Q g c m V k a X N 0 c m l i d X R p b 2 4 g a W 4 g U 0 N G L D h 9 J n F 1 b 3 Q 7 L C Z x d W 9 0 O 1 N l Y 3 R p b 2 4 x L 0 F w c G V u Z D I v Q X V 0 b 1 J l b W 9 2 Z W R D b 2 x 1 b W 5 z M S 5 7 V G 9 0 Y W w g U 0 N G I G l u Y 2 w u I G 9 3 b i B j b 2 5 0 c m l i d X R p b 2 4 g c G V y I G N h c G l 0 Y S w 5 f S Z x d W 9 0 O y w m c X V v d D t T Z W N 0 a W 9 u M S 9 B c H B l b m Q y L 0 F 1 d G 9 S Z W 1 v d m V k Q 2 9 s d W 1 u c z E u e 1 J l c 3 Q g b 2 Y g R V R T M i B y Z X Z l b n V l c y B h Z n R l c i B v d 2 4 g Y 2 9 u d H J p Y n V 0 a W 9 u I H B l c i B j Y X B p d G E s M T B 9 J n F 1 b 3 Q 7 L C Z x d W 9 0 O 1 N l Y 3 R p b 2 4 x L 0 F w c G V u Z D I v Q X V 0 b 1 J l b W 9 2 Z W R D b 2 x 1 b W 5 z M S 5 7 T W F 4 a W 1 1 b S B k a X J l Y 3 Q g c m V k a X N 0 c m l i d X R p b 2 4 g a W 4 g U 0 N G I H B l c i B j Y X B p d G E s M T F 9 J n F 1 b 3 Q 7 L C Z x d W 9 0 O 1 N l Y 3 R p b 2 4 x L 0 F w c G V u Z D I v Q X V 0 b 1 J l b W 9 2 Z W R D b 2 x 1 b W 5 z M S 5 7 T W F 4 I H J l Z G l z d H J p Y n V 0 a W 9 u I H B l c i B j Y X B p d G E g L S B s b 3 d l c i B p b m N v b W U g a G 9 1 c 2 V o b 2 x k c y w x M n 0 m c X V v d D s s J n F 1 b 3 Q 7 U 2 V j d G l v b j E v Q X B w Z W 5 k M i 9 B d X R v U m V t b 3 Z l Z E N v b H V t b n M x L n t N Y X g g c m V k a X N 0 c m l i d X R p b 2 4 g d G 8 g c G 9 w I G F 0 I H J p c 2 s g b 2 Y g c G 9 2 Z X J 0 e S w x M 3 0 m c X V v d D s s J n F 1 b 3 Q 7 U 2 V j d G l v b j E v Q X B w Z W 5 k M i 9 B d X R v U m V t b 3 Z l Z E N v b H V t b n M x L n t G c m 9 u d G x v Y W R p b m c s M T R 9 J n F 1 b 3 Q 7 L C Z x d W 9 0 O 1 N l Y 3 R p b 2 4 x L 0 F w c G V u Z D I v Q X V 0 b 1 J l b W 9 2 Z W R D b 2 x 1 b W 5 z M S 5 7 R n J v b n R s b 2 F k a W 5 n I H B l c i B j Y X A s M T V 9 J n F 1 b 3 Q 7 L C Z x d W 9 0 O 1 N l Y 3 R p b 2 4 x L 0 F w c G V u Z D I v Q X V 0 b 1 J l b W 9 2 Z W R D b 2 x 1 b W 5 z M S 5 7 R E l T I H B l c i B j Y X A s M T Z 9 J n F 1 b 3 Q 7 L C Z x d W 9 0 O 1 N l Y 3 R p b 2 4 x L 0 F w c G V u Z D I v Q X V 0 b 1 J l b W 9 2 Z W R D b 2 x 1 b W 5 z M S 5 7 Q W x s I H J l d m V u d W V z I F B l c i B j Y X A g b G 9 3 L D E 3 f S Z x d W 9 0 O y w m c X V v d D t T Z W N 0 a W 9 u M S 9 B c H B l b m Q y L 0 F 1 d G 9 S Z W 1 v d m V k Q 2 9 s d W 1 u c z E u e 0 F s b C B y Z X Z l b n V l c y B w Z X I g Y 2 F w I H B v d m V y d H k s M T h 9 J n F 1 b 3 Q 7 L C Z x d W 9 0 O 1 N l Y 3 R p b 2 4 x L 0 F w c G V u Z D I v Q X V 0 b 1 J l b W 9 2 Z W R D b 2 x 1 b W 5 z M S 5 7 U m V 2 Z W 5 1 Z S w x O X 0 m c X V v d D s s J n F 1 b 3 Q 7 U 2 V j d G l v b j E v Q X B w Z W 5 k M i 9 B d X R v U m V t b 3 Z l Z E N v b H V t b n M x L n t E a X J l Y 3 Q g S W 5 j b 2 1 l I F N 1 c H B v c n Q s M j B 9 J n F 1 b 3 Q 7 L C Z x d W 9 0 O 1 N l Y 3 R p b 2 4 x L 0 F w c G V u Z D I v Q X V 0 b 1 J l b W 9 2 Z W R D b 2 x 1 b W 5 z M S 5 7 U 2 9 j a W F s R V Y s M j F 9 J n F 1 b 3 Q 7 L C Z x d W 9 0 O 1 N l Y 3 R p b 2 4 x L 0 F w c G V u Z D I v Q X V 0 b 1 J l b W 9 2 Z W R D b 2 x 1 b W 5 z M S 5 7 U 2 9 j a W F s T G V h c 2 l u Z y B I U C w y M n 0 m c X V v d D s s J n F 1 b 3 Q 7 U 2 V j d G l v b j E v Q X B w Z W 5 k M i 9 B d X R v U m V t b 3 Z l Z E N v b H V t b n M x L n t F V F M y U m V z d C t G T C t P d 2 4 s M j N 9 J n F 1 b 3 Q 7 L C Z x d W 9 0 O 1 N l Y 3 R p b 2 4 x L 0 F w c G V u Z D I v Q X V 0 b 1 J l b W 9 2 Z W R D b 2 x 1 b W 5 z M S 5 7 R E l T L W N h c G l 0 Y S 1 h Z G p 1 c 3 Q s M j R 9 J n F 1 b 3 Q 7 X S w m c X V v d D t D b 2 x 1 b W 5 D b 3 V u d C Z x d W 9 0 O z o y N S w m c X V v d D t L Z X l D b 2 x 1 b W 5 O Y W 1 l c y Z x d W 9 0 O z p b X S w m c X V v d D t D b 2 x 1 b W 5 J Z G V u d G l 0 a W V z J n F 1 b 3 Q 7 O l s m c X V v d D t T Z W N 0 a W 9 u M S 9 B c H B l b m Q y L 0 F 1 d G 9 S Z W 1 v d m V k Q 2 9 s d W 1 u c z E u e 0 N v d W 5 0 c n k s M H 0 m c X V v d D s s J n F 1 b 3 Q 7 U 2 V j d G l v b j E v Q X B w Z W 5 k M i 9 B d X R v U m V t b 3 Z l Z E N v b H V t b n M x L n t Z Z W F y L D F 9 J n F 1 b 3 Q 7 L C Z x d W 9 0 O 1 N l Y 3 R p b 2 4 x L 0 F w c G V u Z D I v Q X V 0 b 1 J l b W 9 2 Z W R D b 2 x 1 b W 5 z M S 5 7 U 0 N G I H J l d m V u d W V z L D J 9 J n F 1 b 3 Q 7 L C Z x d W 9 0 O 1 N l Y 3 R p b 2 4 x L 0 F w c G V u Z D I v Q X V 0 b 1 J l b W 9 2 Z W R D b 2 x 1 b W 5 z M S 5 7 R V R T M i B h d W N 0 a W 9 u I H J l d m V u d W V z I G 9 1 d G l k Z S B T Q 0 Y s M 3 0 m c X V v d D s s J n F 1 b 3 Q 7 U 2 V j d G l v b j E v Q X B w Z W 5 k M i 9 B d X R v U m V t b 3 Z l Z E N v b H V t b n M x L n t N a W 4 u I G 9 3 b i B j b 2 5 0 c m l i d X R p b 2 4 g d G 8 g Z X h w Z W 5 z Z X M g Y n k g T V M g d G 8 g U 0 N G L D R 9 J n F 1 b 3 Q 7 L C Z x d W 9 0 O 1 N l Y 3 R p b 2 4 x L 0 F w c G V u Z D I v Q X V 0 b 1 J l b W 9 2 Z W R D b 2 x 1 b W 5 z M S 5 7 V G 9 0 Y W w g U 0 N G I G l u Y 2 w u I G 9 3 b i B j b 2 5 0 c m l i d X R p b 2 4 s N X 0 m c X V v d D s s J n F 1 b 3 Q 7 U 2 V j d G l v b j E v Q X B w Z W 5 k M i 9 B d X R v U m V t b 3 Z l Z E N v b H V t b n M x L n t S Z X N 0 I G 9 m I E V U U z I g c m V 2 Z W 5 1 Z X M g Y W Z 0 Z X I g b 3 d u I G N v b n R y a W J 1 d G l v b i w 2 f S Z x d W 9 0 O y w m c X V v d D t T Z W N 0 a W 9 u M S 9 B c H B l b m Q y L 0 F 1 d G 9 S Z W 1 v d m V k Q 2 9 s d W 1 u c z E u e 1 R v d G F s I E V U U z I g K y B T Q 0 Y g c m V 2 Z W 5 1 Z X M s N 3 0 m c X V v d D s s J n F 1 b 3 Q 7 U 2 V j d G l v b j E v Q X B w Z W 5 k M i 9 B d X R v U m V t b 3 Z l Z E N v b H V t b n M x L n t N Y X g g Z G l y Z W N 0 I H J l Z G l z d H J p Y n V 0 a W 9 u I G l u I F N D R i w 4 f S Z x d W 9 0 O y w m c X V v d D t T Z W N 0 a W 9 u M S 9 B c H B l b m Q y L 0 F 1 d G 9 S Z W 1 v d m V k Q 2 9 s d W 1 u c z E u e 1 R v d G F s I F N D R i B p b m N s L i B v d 2 4 g Y 2 9 u d H J p Y n V 0 a W 9 u I H B l c i B j Y X B p d G E s O X 0 m c X V v d D s s J n F 1 b 3 Q 7 U 2 V j d G l v b j E v Q X B w Z W 5 k M i 9 B d X R v U m V t b 3 Z l Z E N v b H V t b n M x L n t S Z X N 0 I G 9 m I E V U U z I g c m V 2 Z W 5 1 Z X M g Y W Z 0 Z X I g b 3 d u I G N v b n R y a W J 1 d G l v b i B w Z X I g Y 2 F w a X R h L D E w f S Z x d W 9 0 O y w m c X V v d D t T Z W N 0 a W 9 u M S 9 B c H B l b m Q y L 0 F 1 d G 9 S Z W 1 v d m V k Q 2 9 s d W 1 u c z E u e 0 1 h e G l t d W 0 g Z G l y Z W N 0 I H J l Z G l z d H J p Y n V 0 a W 9 u I G l u I F N D R i B w Z X I g Y 2 F w a X R h L D E x f S Z x d W 9 0 O y w m c X V v d D t T Z W N 0 a W 9 u M S 9 B c H B l b m Q y L 0 F 1 d G 9 S Z W 1 v d m V k Q 2 9 s d W 1 u c z E u e 0 1 h e C B y Z W R p c 3 R y a W J 1 d G l v b i B w Z X I g Y 2 F w a X R h I C 0 g b G 9 3 Z X I g a W 5 j b 2 1 l I G h v d X N l a G 9 s Z H M s M T J 9 J n F 1 b 3 Q 7 L C Z x d W 9 0 O 1 N l Y 3 R p b 2 4 x L 0 F w c G V u Z D I v Q X V 0 b 1 J l b W 9 2 Z W R D b 2 x 1 b W 5 z M S 5 7 T W F 4 I H J l Z G l z d H J p Y n V 0 a W 9 u I H R v I H B v c C B h d C B y a X N r I G 9 m I H B v d m V y d H k s M T N 9 J n F 1 b 3 Q 7 L C Z x d W 9 0 O 1 N l Y 3 R p b 2 4 x L 0 F w c G V u Z D I v Q X V 0 b 1 J l b W 9 2 Z W R D b 2 x 1 b W 5 z M S 5 7 R n J v b n R s b 2 F k a W 5 n L D E 0 f S Z x d W 9 0 O y w m c X V v d D t T Z W N 0 a W 9 u M S 9 B c H B l b m Q y L 0 F 1 d G 9 S Z W 1 v d m V k Q 2 9 s d W 1 u c z E u e 0 Z y b 2 5 0 b G 9 h Z G l u Z y B w Z X I g Y 2 F w L D E 1 f S Z x d W 9 0 O y w m c X V v d D t T Z W N 0 a W 9 u M S 9 B c H B l b m Q y L 0 F 1 d G 9 S Z W 1 v d m V k Q 2 9 s d W 1 u c z E u e 0 R J U y B w Z X I g Y 2 F w L D E 2 f S Z x d W 9 0 O y w m c X V v d D t T Z W N 0 a W 9 u M S 9 B c H B l b m Q y L 0 F 1 d G 9 S Z W 1 v d m V k Q 2 9 s d W 1 u c z E u e 0 F s b C B y Z X Z l b n V l c y B Q Z X I g Y 2 F w I G x v d y w x N 3 0 m c X V v d D s s J n F 1 b 3 Q 7 U 2 V j d G l v b j E v Q X B w Z W 5 k M i 9 B d X R v U m V t b 3 Z l Z E N v b H V t b n M x L n t B b G w g c m V 2 Z W 5 1 Z X M g c G V y I G N h c C B w b 3 Z l c n R 5 L D E 4 f S Z x d W 9 0 O y w m c X V v d D t T Z W N 0 a W 9 u M S 9 B c H B l b m Q y L 0 F 1 d G 9 S Z W 1 v d m V k Q 2 9 s d W 1 u c z E u e 1 J l d m V u d W U s M T l 9 J n F 1 b 3 Q 7 L C Z x d W 9 0 O 1 N l Y 3 R p b 2 4 x L 0 F w c G V u Z D I v Q X V 0 b 1 J l b W 9 2 Z W R D b 2 x 1 b W 5 z M S 5 7 R G l y Z W N 0 I E l u Y 2 9 t Z S B T d X B w b 3 J 0 L D I w f S Z x d W 9 0 O y w m c X V v d D t T Z W N 0 a W 9 u M S 9 B c H B l b m Q y L 0 F 1 d G 9 S Z W 1 v d m V k Q 2 9 s d W 1 u c z E u e 1 N v Y 2 l h b E V W L D I x f S Z x d W 9 0 O y w m c X V v d D t T Z W N 0 a W 9 u M S 9 B c H B l b m Q y L 0 F 1 d G 9 S Z W 1 v d m V k Q 2 9 s d W 1 u c z E u e 1 N v Y 2 l h b E x l Y X N p b m c g S F A s M j J 9 J n F 1 b 3 Q 7 L C Z x d W 9 0 O 1 N l Y 3 R p b 2 4 x L 0 F w c G V u Z D I v Q X V 0 b 1 J l b W 9 2 Z W R D b 2 x 1 b W 5 z M S 5 7 R V R T M l J l c 3 Q r R k w r T 3 d u L D I z f S Z x d W 9 0 O y w m c X V v d D t T Z W N 0 a W 9 u M S 9 B c H B l b m Q y L 0 F 1 d G 9 S Z W 1 v d m V k Q 2 9 s d W 1 u c z E u e 0 R J U y 1 j Y X B p d G E t Y W R q d X N 0 L D I 0 f S Z x d W 9 0 O 1 0 s J n F 1 b 3 Q 7 U m V s Y X R p b 2 5 z a G l w S W 5 m b y Z x d W 9 0 O z p b X X 0 i I C 8 + P C 9 T d G F i b G V F b n R y a W V z P j w v S X R l b T 4 8 S X R l b T 4 8 S X R l b U x v Y 2 F 0 a W 9 u P j x J d G V t V H l w Z T 5 G b 3 J t d W x h P C 9 J d G V t V H l w Z T 4 8 S X R l b V B h d G g + U 2 V j d G l v b j E v Q X B w Z W 5 k M i 9 T b 3 V y Y 2 U 8 L 0 l 0 Z W 1 Q Y X R o P j w v S X R l b U x v Y 2 F 0 a W 9 u P j x T d G F i b G V F b n R y a W V z I C 8 + P C 9 J d G V t P j x J d G V t P j x J d G V t T G 9 j Y X R p b 2 4 + P E l 0 Z W 1 U e X B l P k Z v c m 1 1 b G E 8 L 0 l 0 Z W 1 U e X B l P j x J d G V t U G F 0 a D 5 T Z W N 0 a W 9 u M S 9 G c m 9 u d G x v Y W R p b m c 8 L 0 l 0 Z W 1 Q Y X R o P j w v S X R l b U x v Y 2 F 0 a W 9 u P j x T d G F i b G V F b n R y a W V z P j x F b n R y e S B U e X B l P S J J c 1 B y a X Z h d G U i I F Z h b H V l P S J s M C I g L z 4 8 R W 5 0 c n k g V H l w Z T 0 i U X V l c n l J R C I g V m F s d W U 9 I n M x N D g x Y T l j N y 0 x Z j d i L T Q 4 Y T U t Y T J k M S 1 i M G J j O D d i O W M 0 O D k i I C 8 + P E V u d H J 5 I F R 5 c G U 9 I k Z p b G x F b m F i b G V k 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Z W R D b 2 1 w b G V 0 Z V J l c 3 V s d F R v V 2 9 y a 3 N o Z W V 0 I i B W Y W x 1 Z T 0 i b D E i I C 8 + P E V u d H J 5 I F R 5 c G U 9 I k Z p b G x F c n J v c k N v d W 5 0 I i B W Y W x 1 Z T 0 i b D A i I C 8 + P E V u d H J 5 I F R 5 c G U 9 I k Z p b G x F c n J v c k N v Z G U i I F Z h b H V l P S J z V W 5 r b m 9 3 b i I g L z 4 8 R W 5 0 c n k g V H l w Z T 0 i R m l s b F R v R G F 0 Y U 1 v Z G V s R W 5 h Y m x l Z C I g V m F s d W U 9 I m w w I i A v P j x F b n R y e S B U e X B l P S J G a W x s T 2 J q Z W N 0 V H l w Z S I g V m F s d W U 9 I n N D b 2 5 u Z W N 0 a W 9 u T 2 5 s e S I g L z 4 8 R W 5 0 c n k g V H l w Z T 0 i R m l s b E x h c 3 R V c G R h d G V k I i B W Y W x 1 Z T 0 i Z D I w M j U t M T I t M T Z U M T A 6 N D g 6 N T U u M z I 3 N j Y y N V o i I C 8 + P E V u d H J 5 I F R 5 c G U 9 I k Z p b G x D b 2 x 1 b W 5 U e X B l c y I g V m F s d W U 9 I n N C Z 1 l B I i A v P j x F b n R y e S B U e X B l P S J G a W x s Q 2 9 1 b n Q i I F Z h b H V l P S J s M j g i I C 8 + P E V u d H J 5 I F R 5 c G U 9 I k Z p b G x D b 2 x 1 b W 5 O Y W 1 l c y I g V m F s d W U 9 I n N b J n F 1 b 3 Q 7 Q 2 9 1 b n R y e S Z x d W 9 0 O y w m c X V v d D t Z Z W F y J n F 1 b 3 Q 7 L C Z x d W 9 0 O 0 Z y b 2 5 0 b G 9 h Z G l u Z y Z x d W 9 0 O 1 0 i I C 8 + P E V u d H J 5 I F R 5 c G U 9 I k F k Z G V k V G 9 E Y X R h T W 9 k Z W w i I F Z h b H V l P S J s M C I g L z 4 8 R W 5 0 c n k g V H l w Z T 0 i R m l s b F N 0 Y X R 1 c y I g V m F s d W U 9 I n N D b 2 1 w b G V 0 Z S I g L z 4 8 R W 5 0 c n k g V H l w Z T 0 i U m V s Y X R p b 2 5 z a G l w S W 5 m b 0 N v b n R h a W 5 l c i I g V m F s d W U 9 I n N 7 J n F 1 b 3 Q 7 Y 2 9 s d W 1 u Q 2 9 1 b n Q m c X V v d D s 6 M y w m c X V v d D t r Z X l D b 2 x 1 b W 5 O Y W 1 l c y Z x d W 9 0 O z p b X S w m c X V v d D t x d W V y e V J l b G F 0 a W 9 u c 2 h p c H M m c X V v d D s 6 W 1 0 s J n F 1 b 3 Q 7 Y 2 9 s d W 1 u S W R l b n R p d G l l c y Z x d W 9 0 O z p b J n F 1 b 3 Q 7 U 2 V j d G l v b j E v R n J v b n R s b 2 F k a W 5 n L 0 F 1 d G 9 S Z W 1 v d m V k Q 2 9 s d W 1 u c z E u e 0 N v d W 5 0 c n k s M H 0 m c X V v d D s s J n F 1 b 3 Q 7 U 2 V j d G l v b j E v R n J v b n R s b 2 F k a W 5 n L 0 F 1 d G 9 S Z W 1 v d m V k Q 2 9 s d W 1 u c z E u e 1 l l Y X I s M X 0 m c X V v d D s s J n F 1 b 3 Q 7 U 2 V j d G l v b j E v R n J v b n R s b 2 F k a W 5 n L 0 F 1 d G 9 S Z W 1 v d m V k Q 2 9 s d W 1 u c z E u e 0 Z y b 2 5 0 b G 9 h Z G l u Z y w y f S Z x d W 9 0 O 1 0 s J n F 1 b 3 Q 7 Q 2 9 s d W 1 u Q 2 9 1 b n Q m c X V v d D s 6 M y w m c X V v d D t L Z X l D b 2 x 1 b W 5 O Y W 1 l c y Z x d W 9 0 O z p b X S w m c X V v d D t D b 2 x 1 b W 5 J Z G V u d G l 0 a W V z J n F 1 b 3 Q 7 O l s m c X V v d D t T Z W N 0 a W 9 u M S 9 G c m 9 u d G x v Y W R p b m c v Q X V 0 b 1 J l b W 9 2 Z W R D b 2 x 1 b W 5 z M S 5 7 Q 2 9 1 b n R y e S w w f S Z x d W 9 0 O y w m c X V v d D t T Z W N 0 a W 9 u M S 9 G c m 9 u d G x v Y W R p b m c v Q X V 0 b 1 J l b W 9 2 Z W R D b 2 x 1 b W 5 z M S 5 7 W W V h c i w x f S Z x d W 9 0 O y w m c X V v d D t T Z W N 0 a W 9 u M S 9 G c m 9 u d G x v Y W R p b m c v Q X V 0 b 1 J l b W 9 2 Z W R D b 2 x 1 b W 5 z M S 5 7 R n J v b n R s b 2 F k a W 5 n L D J 9 J n F 1 b 3 Q 7 X S w m c X V v d D t S Z W x h d G l v b n N o a X B J b m Z v J n F 1 b 3 Q 7 O l t d f S I g L z 4 8 L 1 N 0 Y W J s Z U V u d H J p Z X M + P C 9 J d G V t P j x J d G V t P j x J d G V t T G 9 j Y X R p b 2 4 + P E l 0 Z W 1 U e X B l P k Z v c m 1 1 b G E 8 L 0 l 0 Z W 1 U e X B l P j x J d G V t U G F 0 a D 5 T Z W N 0 a W 9 u M S 9 G c m 9 u d G x v Y W R p b m c v U 2 9 1 c m N l P C 9 J d G V t U G F 0 a D 4 8 L 0 l 0 Z W 1 M b 2 N h d G l v b j 4 8 U 3 R h Y m x l R W 5 0 c m l l c y A v P j w v S X R l b T 4 8 S X R l b T 4 8 S X R l b U x v Y 2 F 0 a W 9 u P j x J d G V t V H l w Z T 5 G b 3 J t d W x h P C 9 J d G V t V H l w Z T 4 8 S X R l b V B h d G g + U 2 V j d G l v b j E v R n J v b n R s b 2 F k a W 5 n L 0 N o Y W 5 n Z W Q l M j B U e X B l P C 9 J d G V t U G F 0 a D 4 8 L 0 l 0 Z W 1 M b 2 N h d G l v b j 4 8 U 3 R h Y m x l R W 5 0 c m l l c y A v P j w v S X R l b T 4 8 S X R l b T 4 8 S X R l b U x v Y 2 F 0 a W 9 u P j x J d G V t V H l w Z T 5 G b 3 J t d W x h P C 9 J d G V t V H l w Z T 4 8 S X R l b V B h d G g + U 2 V j d G l v b j E v R n J v b n R s b 2 F k a W 5 n L 1 V u c G l 2 b 3 R l Z C U y M E N v b H V t b n M 8 L 0 l 0 Z W 1 Q Y X R o P j w v S X R l b U x v Y 2 F 0 a W 9 u P j x T d G F i b G V F b n R y a W V z I C 8 + P C 9 J d G V t P j x J d G V t P j x J d G V t T G 9 j Y X R p b 2 4 + P E l 0 Z W 1 U e X B l P k Z v c m 1 1 b G E 8 L 0 l 0 Z W 1 U e X B l P j x J d G V t U G F 0 a D 5 T Z W N 0 a W 9 u M S 9 G c m 9 u d G x v Y W R p b m c v U m V u Y W 1 l Z C U y M E N v b H V t b n M 8 L 0 l 0 Z W 1 Q Y X R o P j w v S X R l b U x v Y 2 F 0 a W 9 u P j x T d G F i b G V F b n R y a W V z I C 8 + P C 9 J d G V t P j x J d G V t P j x J d G V t T G 9 j Y X R p b 2 4 + P E l 0 Z W 1 U e X B l P k Z v c m 1 1 b G E 8 L 0 l 0 Z W 1 U e X B l P j x J d G V t U G F 0 a D 5 T Z W N 0 a W 9 u M S 9 G c m 9 u d G x v Y W R p b m c l M j B w Z X I l M j B j Y X B p d G E 8 L 0 l 0 Z W 1 Q Y X R o P j w v S X R l b U x v Y 2 F 0 a W 9 u P j x T d G F i b G V F b n R y a W V z P j x F b n R y e S B U e X B l P S J J c 1 B y a X Z h d G U i I F Z h b H V l P S J s M C I g L z 4 8 R W 5 0 c n k g V H l w Z T 0 i U X V l c n l J R C I g V m F s d W U 9 I n N h N W M 5 N m Z l Y i 0 z N m M 0 L T Q z Z T Q t Y j c 1 N y 1 l M j h i M j Y 5 Z m E 1 N z g i I C 8 + P E V u d H J 5 I F R 5 c G U 9 I k Z p b G x F b m F i b G V k 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Z W R D b 2 1 w b G V 0 Z V J l c 3 V s d F R v V 2 9 y a 3 N o Z W V 0 I i B W Y W x 1 Z T 0 i b D E i I C 8 + P E V u d H J 5 I F R 5 c G U 9 I k Z p b G x F c n J v c k N v d W 5 0 I i B W Y W x 1 Z T 0 i b D A i I C 8 + P E V u d H J 5 I F R 5 c G U 9 I k Z p b G x F c n J v c k N v Z G U i I F Z h b H V l P S J z V W 5 r b m 9 3 b i I g L z 4 8 R W 5 0 c n k g V H l w Z T 0 i R m l s b F R v R G F 0 Y U 1 v Z G V s R W 5 h Y m x l Z C I g V m F s d W U 9 I m w w I i A v P j x F b n R y e S B U e X B l P S J G a W x s T 2 J q Z W N 0 V H l w Z S I g V m F s d W U 9 I n N D b 2 5 u Z W N 0 a W 9 u T 2 5 s e S I g L z 4 8 R W 5 0 c n k g V H l w Z T 0 i R m l s b E x h c 3 R V c G R h d G V k I i B W Y W x 1 Z T 0 i Z D I w M j U t M T I t M T Z U M T A 6 N D g 6 N T U u M z M w M T g 0 M F o i I C 8 + P E V u d H J 5 I F R 5 c G U 9 I k Z p b G x D b 2 x 1 b W 5 U e X B l c y I g V m F s d W U 9 I n N C Z 1 l B I i A v P j x F b n R y e S B U e X B l P S J G a W x s Q 2 9 1 b n Q i I F Z h b H V l P S J s M j g i I C 8 + P E V u d H J 5 I F R 5 c G U 9 I k Z p b G x D b 2 x 1 b W 5 O Y W 1 l c y I g V m F s d W U 9 I n N b J n F 1 b 3 Q 7 Q 2 9 1 b n R y e S Z x d W 9 0 O y w m c X V v d D t Z Z W F y J n F 1 b 3 Q 7 L C Z x d W 9 0 O 0 Z y b 2 5 0 b G 9 h Z G l u Z y B w Z X I g Y 2 F w J n F 1 b 3 Q 7 X S I g L z 4 8 R W 5 0 c n k g V H l w Z T 0 i Q W R k Z W R U b 0 R h d G F N b 2 R l b C I g V m F s d W U 9 I m w w I i A v P j x F b n R y e S B U e X B l P S J G a W x s U 3 R h d H V z I i B W Y W x 1 Z T 0 i c 0 N v b X B s Z X R l I i A v P j x F b n R y e S B U e X B l P S J S Z W x h d G l v b n N o a X B J b m Z v Q 2 9 u d G F p b m V y I i B W Y W x 1 Z T 0 i c 3 s m c X V v d D t j b 2 x 1 b W 5 D b 3 V u d C Z x d W 9 0 O z o z L C Z x d W 9 0 O 2 t l e U N v b H V t b k 5 h b W V z J n F 1 b 3 Q 7 O l t d L C Z x d W 9 0 O 3 F 1 Z X J 5 U m V s Y X R p b 2 5 z a G l w c y Z x d W 9 0 O z p b X S w m c X V v d D t j b 2 x 1 b W 5 J Z G V u d G l 0 a W V z J n F 1 b 3 Q 7 O l s m c X V v d D t T Z W N 0 a W 9 u M S 9 G c m 9 u d G x v Y W R p b m c g c G V y I G N h c G l 0 Y S 9 B d X R v U m V t b 3 Z l Z E N v b H V t b n M x L n t D b 3 V u d H J 5 L D B 9 J n F 1 b 3 Q 7 L C Z x d W 9 0 O 1 N l Y 3 R p b 2 4 x L 0 Z y b 2 5 0 b G 9 h Z G l u Z y B w Z X I g Y 2 F w a X R h L 0 F 1 d G 9 S Z W 1 v d m V k Q 2 9 s d W 1 u c z E u e 1 l l Y X I s M X 0 m c X V v d D s s J n F 1 b 3 Q 7 U 2 V j d G l v b j E v R n J v b n R s b 2 F k a W 5 n I H B l c i B j Y X B p d G E v Q X V 0 b 1 J l b W 9 2 Z W R D b 2 x 1 b W 5 z M S 5 7 R n J v b n R s b 2 F k a W 5 n I H B l c i B j Y X A s M n 0 m c X V v d D t d L C Z x d W 9 0 O 0 N v b H V t b k N v d W 5 0 J n F 1 b 3 Q 7 O j M s J n F 1 b 3 Q 7 S 2 V 5 Q 2 9 s d W 1 u T m F t Z X M m c X V v d D s 6 W 1 0 s J n F 1 b 3 Q 7 Q 2 9 s d W 1 u S W R l b n R p d G l l c y Z x d W 9 0 O z p b J n F 1 b 3 Q 7 U 2 V j d G l v b j E v R n J v b n R s b 2 F k a W 5 n I H B l c i B j Y X B p d G E v Q X V 0 b 1 J l b W 9 2 Z W R D b 2 x 1 b W 5 z M S 5 7 Q 2 9 1 b n R y e S w w f S Z x d W 9 0 O y w m c X V v d D t T Z W N 0 a W 9 u M S 9 G c m 9 u d G x v Y W R p b m c g c G V y I G N h c G l 0 Y S 9 B d X R v U m V t b 3 Z l Z E N v b H V t b n M x L n t Z Z W F y L D F 9 J n F 1 b 3 Q 7 L C Z x d W 9 0 O 1 N l Y 3 R p b 2 4 x L 0 Z y b 2 5 0 b G 9 h Z G l u Z y B w Z X I g Y 2 F w a X R h L 0 F 1 d G 9 S Z W 1 v d m V k Q 2 9 s d W 1 u c z E u e 0 Z y b 2 5 0 b G 9 h Z G l u Z y B w Z X I g Y 2 F w L D J 9 J n F 1 b 3 Q 7 X S w m c X V v d D t S Z W x h d G l v b n N o a X B J b m Z v J n F 1 b 3 Q 7 O l t d f S I g L z 4 8 L 1 N 0 Y W J s Z U V u d H J p Z X M + P C 9 J d G V t P j x J d G V t P j x J d G V t T G 9 j Y X R p b 2 4 + P E l 0 Z W 1 U e X B l P k Z v c m 1 1 b G E 8 L 0 l 0 Z W 1 U e X B l P j x J d G V t U G F 0 a D 5 T Z W N 0 a W 9 u M S 9 G c m 9 u d G x v Y W R p b m c l M j B w Z X I l M j B j Y X B p d G E v U 2 9 1 c m N l P C 9 J d G V t U G F 0 a D 4 8 L 0 l 0 Z W 1 M b 2 N h d G l v b j 4 8 U 3 R h Y m x l R W 5 0 c m l l c y A v P j w v S X R l b T 4 8 S X R l b T 4 8 S X R l b U x v Y 2 F 0 a W 9 u P j x J d G V t V H l w Z T 5 G b 3 J t d W x h P C 9 J d G V t V H l w Z T 4 8 S X R l b V B h d G g + U 2 V j d G l v b j E v R n J v b n R s b 2 F k a W 5 n J T I w c G V y J T I w Y 2 F w a X R h L 0 N o Y W 5 n Z W Q l M j B U e X B l P C 9 J d G V t U G F 0 a D 4 8 L 0 l 0 Z W 1 M b 2 N h d G l v b j 4 8 U 3 R h Y m x l R W 5 0 c m l l c y A v P j w v S X R l b T 4 8 S X R l b T 4 8 S X R l b U x v Y 2 F 0 a W 9 u P j x J d G V t V H l w Z T 5 G b 3 J t d W x h P C 9 J d G V t V H l w Z T 4 8 S X R l b V B h d G g + U 2 V j d G l v b j E v R n J v b n R s b 2 F k a W 5 n J T I w c G V y J T I w Y 2 F w a X R h L 1 V u c G l 2 b 3 R l Z C U y M E N v b H V t b n M 8 L 0 l 0 Z W 1 Q Y X R o P j w v S X R l b U x v Y 2 F 0 a W 9 u P j x T d G F i b G V F b n R y a W V z I C 8 + P C 9 J d G V t P j x J d G V t P j x J d G V t T G 9 j Y X R p b 2 4 + P E l 0 Z W 1 U e X B l P k Z v c m 1 1 b G E 8 L 0 l 0 Z W 1 U e X B l P j x J d G V t U G F 0 a D 5 T Z W N 0 a W 9 u M S 9 G c m 9 u d G x v Y W R p b m c l M j B w Z X I l M j B j Y X B p d G E v U m V u Y W 1 l Z C U y M E N v b H V t b n M 8 L 0 l 0 Z W 1 Q Y X R o P j w v S X R l b U x v Y 2 F 0 a W 9 u P j x T d G F i b G V F b n R y a W V z I C 8 + P C 9 J d G V t P j x J d G V t P j x J d G V t T G 9 j Y X R p b 2 4 + P E l 0 Z W 1 U e X B l P k Z v c m 1 1 b G E 8 L 0 l 0 Z W 1 U e X B l P j x J d G V t U G F 0 a D 5 T Z W N 0 a W 9 u M S 9 B c H B l b m Q y L 1 J l b 3 J k Z X J l Z C U y M E N v b H V t b n M 8 L 0 l 0 Z W 1 Q Y X R o P j w v S X R l b U x v Y 2 F 0 a W 9 u P j x T d G F i b G V F b n R y a W V z I C 8 + P C 9 J d G V t P j x J d G V t P j x J d G V t T G 9 j Y X R p b 2 4 + P E l 0 Z W 1 U e X B l P k Z v c m 1 1 b G E 8 L 0 l 0 Z W 1 U e X B l P j x J d G V t U G F 0 a D 5 T Z W N 0 a W 9 u M S 9 U b 3 R h b F J l d m V u d W U 8 L 0 l 0 Z W 1 Q Y X R o P j w v S X R l b U x v Y 2 F 0 a W 9 u P j x T d G F i b G V F b n R y a W V z P j x F b n R y e S B U e X B l P S J J c 1 B y a X Z h d G U i I F Z h b H V l P S J s M C I g L z 4 8 R W 5 0 c n k g V H l w Z T 0 i U X V l c n l J R C I g V m F s d W U 9 I n N m Z m I z M T R l M i 1 h Z G V h L T Q 3 Y z I t O T I 4 M i 1 k M z M 1 N T Z i O T E z N D c i I C 8 + P E V u d H J 5 I F R 5 c G U 9 I k Z p b G x F b m F i b G V k 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Z W R D b 2 1 w b G V 0 Z V J l c 3 V s d F R v V 2 9 y a 3 N o Z W V 0 I i B W Y W x 1 Z T 0 i b D E i I C 8 + P E V u d H J 5 I F R 5 c G U 9 I k Z p b G x F c n J v c k N v d W 5 0 I i B W Y W x 1 Z T 0 i b D A i I C 8 + P E V u d H J 5 I F R 5 c G U 9 I k Z p b G x F c n J v c k N v Z G U i I F Z h b H V l P S J z V W 5 r b m 9 3 b i I g L z 4 8 R W 5 0 c n k g V H l w Z T 0 i R m l s b F R v R G F 0 Y U 1 v Z G V s R W 5 h Y m x l Z C I g V m F s d W U 9 I m w w I i A v P j x F b n R y e S B U e X B l P S J G a W x s T 2 J q Z W N 0 V H l w Z S I g V m F s d W U 9 I n N D b 2 5 u Z W N 0 a W 9 u T 2 5 s e S I g L z 4 8 R W 5 0 c n k g V H l w Z T 0 i R m l s b E x h c 3 R V c G R h d G V k I i B W Y W x 1 Z T 0 i Z D I w M j U t M T I t M T Z U M T A 6 N D g 6 N T U u M z M 5 O T M 4 N V o i I C 8 + P E V u d H J 5 I F R 5 c G U 9 I k Z p b G x D b 2 x 1 b W 5 U e X B l c y I g V m F s d W U 9 I n N C Z 1 l B I i A v P j x F b n R y e S B U e X B l P S J G a W x s Q 2 9 1 b n Q i I F Z h b H V l P S J s M T g 5 I i A v P j x F b n R y e S B U e X B l P S J G a W x s Q 2 9 s d W 1 u T m F t Z X M i I F Z h b H V l P S J z W y Z x d W 9 0 O 0 N v d W 5 0 c n k m c X V v d D s s J n F 1 b 3 Q 7 W W V h c i Z x d W 9 0 O y w m c X V v d D t S Z X Z l b n V l J n F 1 b 3 Q 7 X S I g L z 4 8 R W 5 0 c n k g V H l w Z T 0 i Q W R k Z W R U b 0 R h d G F N b 2 R l b C I g V m F s d W U 9 I m w w I i A v P j x F b n R y e S B U e X B l P S J G a W x s U 3 R h d H V z I i B W Y W x 1 Z T 0 i c 0 N v b X B s Z X R l I i A v P j x F b n R y e S B U e X B l P S J S Z W x h d G l v b n N o a X B J b m Z v Q 2 9 u d G F p b m V y I i B W Y W x 1 Z T 0 i c 3 s m c X V v d D t j b 2 x 1 b W 5 D b 3 V u d C Z x d W 9 0 O z o z L C Z x d W 9 0 O 2 t l e U N v b H V t b k 5 h b W V z J n F 1 b 3 Q 7 O l t d L C Z x d W 9 0 O 3 F 1 Z X J 5 U m V s Y X R p b 2 5 z a G l w c y Z x d W 9 0 O z p b X S w m c X V v d D t j b 2 x 1 b W 5 J Z G V u d G l 0 a W V z J n F 1 b 3 Q 7 O l s m c X V v d D t T Z W N 0 a W 9 u M S 9 U b 3 R h b F J l d m V u d W U v Q X V 0 b 1 J l b W 9 2 Z W R D b 2 x 1 b W 5 z M S 5 7 Q 2 9 1 b n R y e S w w f S Z x d W 9 0 O y w m c X V v d D t T Z W N 0 a W 9 u M S 9 U b 3 R h b F J l d m V u d W U v Q X V 0 b 1 J l b W 9 2 Z W R D b 2 x 1 b W 5 z M S 5 7 W W V h c i w x f S Z x d W 9 0 O y w m c X V v d D t T Z W N 0 a W 9 u M S 9 U b 3 R h b F J l d m V u d W U v Q X V 0 b 1 J l b W 9 2 Z W R D b 2 x 1 b W 5 z M S 5 7 U m V 2 Z W 5 1 Z S w y f S Z x d W 9 0 O 1 0 s J n F 1 b 3 Q 7 Q 2 9 s d W 1 u Q 2 9 1 b n Q m c X V v d D s 6 M y w m c X V v d D t L Z X l D b 2 x 1 b W 5 O Y W 1 l c y Z x d W 9 0 O z p b X S w m c X V v d D t D b 2 x 1 b W 5 J Z G V u d G l 0 a W V z J n F 1 b 3 Q 7 O l s m c X V v d D t T Z W N 0 a W 9 u M S 9 U b 3 R h b F J l d m V u d W U v Q X V 0 b 1 J l b W 9 2 Z W R D b 2 x 1 b W 5 z M S 5 7 Q 2 9 1 b n R y e S w w f S Z x d W 9 0 O y w m c X V v d D t T Z W N 0 a W 9 u M S 9 U b 3 R h b F J l d m V u d W U v Q X V 0 b 1 J l b W 9 2 Z W R D b 2 x 1 b W 5 z M S 5 7 W W V h c i w x f S Z x d W 9 0 O y w m c X V v d D t T Z W N 0 a W 9 u M S 9 U b 3 R h b F J l d m V u d W U v Q X V 0 b 1 J l b W 9 2 Z W R D b 2 x 1 b W 5 z M S 5 7 U m V 2 Z W 5 1 Z S w y f S Z x d W 9 0 O 1 0 s J n F 1 b 3 Q 7 U m V s Y X R p b 2 5 z a G l w S W 5 m b y Z x d W 9 0 O z p b X X 0 i I C 8 + P C 9 T d G F i b G V F b n R y a W V z P j w v S X R l b T 4 8 S X R l b T 4 8 S X R l b U x v Y 2 F 0 a W 9 u P j x J d G V t V H l w Z T 5 G b 3 J t d W x h P C 9 J d G V t V H l w Z T 4 8 S X R l b V B h d G g + U 2 V j d G l v b j E v V G 9 0 Y W x S Z X Z l b n V l L 1 N v d X J j Z T w v S X R l b V B h d G g + P C 9 J d G V t T G 9 j Y X R p b 2 4 + P F N 0 Y W J s Z U V u d H J p Z X M g L z 4 8 L 0 l 0 Z W 0 + P E l 0 Z W 0 + P E l 0 Z W 1 M b 2 N h d G l v b j 4 8 S X R l b V R 5 c G U + R m 9 y b X V s Y T w v S X R l b V R 5 c G U + P E l 0 Z W 1 Q Y X R o P l N l Y 3 R p b 2 4 x L 1 R v d G F s U m V 2 Z W 5 1 Z S 9 D a G F u Z 2 V k J T I w V H l w Z T w v S X R l b V B h d G g + P C 9 J d G V t T G 9 j Y X R p b 2 4 + P F N 0 Y W J s Z U V u d H J p Z X M g L z 4 8 L 0 l 0 Z W 0 + P E l 0 Z W 0 + P E l 0 Z W 1 M b 2 N h d G l v b j 4 8 S X R l b V R 5 c G U + R m 9 y b X V s Y T w v S X R l b V R 5 c G U + P E l 0 Z W 1 Q Y X R o P l N l Y 3 R p b 2 4 x L 1 R v d G F s U m V 2 Z W 5 1 Z S 9 V b n B p d m 9 0 Z W Q l M j B D b 2 x 1 b W 5 z P C 9 J d G V t U G F 0 a D 4 8 L 0 l 0 Z W 1 M b 2 N h d G l v b j 4 8 U 3 R h Y m x l R W 5 0 c m l l c y A v P j w v S X R l b T 4 8 S X R l b T 4 8 S X R l b U x v Y 2 F 0 a W 9 u P j x J d G V t V H l w Z T 5 G b 3 J t d W x h P C 9 J d G V t V H l w Z T 4 8 S X R l b V B h d G g + U 2 V j d G l v b j E v V G 9 0 Y W x S Z X Z l b n V l L 1 J l b m F t Z W Q l M j B D b 2 x 1 b W 5 z P C 9 J d G V t U G F 0 a D 4 8 L 0 l 0 Z W 1 M b 2 N h d G l v b j 4 8 U 3 R h Y m x l R W 5 0 c m l l c y A v P j w v S X R l b T 4 8 S X R l b T 4 8 S X R l b U x v Y 2 F 0 a W 9 u P j x J d G V t V H l w Z T 5 G b 3 J t d W x h P C 9 J d G V t V H l w Z T 4 8 S X R l b V B h d G g + U 2 V j d G l v b j E v U 2 9 j a W F s T G V h c 2 l u Z 0 V W P C 9 J d G V t U G F 0 a D 4 8 L 0 l 0 Z W 1 M b 2 N h d G l v b j 4 8 U 3 R h Y m x l R W 5 0 c m l l c z 4 8 R W 5 0 c n k g V H l w Z T 0 i S X N Q c m l 2 Y X R l I i B W Y W x 1 Z T 0 i b D A i I C 8 + P E V u d H J 5 I F R 5 c G U 9 I l F 1 Z X J 5 S U Q i I F Z h b H V l P S J z N D E y M 2 E 2 Y T I t Y T B j Z C 0 0 Z D k 5 L T k y N 2 U t M G E 1 N 2 I 3 N D Y z N D g w I i A v P j x F b n R y e S B U e X B l P S J G a W x s R W 5 h Y m x l Z C 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G V k Q 2 9 t c G x l d G V S Z X N 1 b H R U b 1 d v c m t z a G V l d C I g V m F s d W U 9 I m w x I i A v P j x F b n R y e S B U e X B l P S J G a W x s R X J y b 3 J D b 3 V u d C I g V m F s d W U 9 I m w w I i A v P j x F b n R y e S B U e X B l P S J G a W x s R X J y b 3 J D b 2 R l I i B W Y W x 1 Z T 0 i c 1 V u a 2 5 v d 2 4 i I C 8 + P E V u d H J 5 I F R 5 c G U 9 I k Z p b G x U b 0 R h d G F N b 2 R l b E V u Y W J s Z W Q i I F Z h b H V l P S J s M C I g L z 4 8 R W 5 0 c n k g V H l w Z T 0 i R m l s b E 9 i a m V j d F R 5 c G U i I F Z h b H V l P S J z Q 2 9 u b m V j d G l v b k 9 u b H k i I C 8 + P E V u d H J 5 I F R 5 c G U 9 I k Z p b G x M Y X N 0 V X B k Y X R l Z C I g V m F s d W U 9 I m Q y M D I 1 L T E y L T E 2 V D E w O j Q 4 O j U 1 L j M 0 M z k 4 N D J a I i A v P j x F b n R y e S B U e X B l P S J G a W x s Q 2 9 s d W 1 u V H l w Z X M i I F Z h b H V l P S J z Q m d Z Q S I g L z 4 8 R W 5 0 c n k g V H l w Z T 0 i R m l s b E N v d W 5 0 I i B W Y W x 1 Z T 0 i b D E 4 O S I g L z 4 8 R W 5 0 c n k g V H l w Z T 0 i R m l s b E N v b H V t b k 5 h b W V z I i B W Y W x 1 Z T 0 i c 1 s m c X V v d D t D b 3 V u d H J 5 J n F 1 b 3 Q 7 L C Z x d W 9 0 O 1 l l Y X I m c X V v d D s s J n F 1 b 3 Q 7 U 2 9 j a W F s R V Y m c X V v d D t d I i A v P j x F b n R y e S B U e X B l P S J B Z G R l Z F R v R G F 0 Y U 1 v Z G V s I i B W Y W x 1 Z T 0 i b D A i I C 8 + P E V u d H J 5 I F R 5 c G U 9 I k Z p b G x T d G F 0 d X M i I F Z h b H V l P S J z Q 2 9 t c G x l d G U i I C 8 + P E V u d H J 5 I F R 5 c G U 9 I l J l b G F 0 a W 9 u c 2 h p c E l u Z m 9 D b 2 5 0 Y W l u Z X I i I F Z h b H V l P S J z e y Z x d W 9 0 O 2 N v b H V t b k N v d W 5 0 J n F 1 b 3 Q 7 O j M s J n F 1 b 3 Q 7 a 2 V 5 Q 2 9 s d W 1 u T m F t Z X M m c X V v d D s 6 W 1 0 s J n F 1 b 3 Q 7 c X V l c n l S Z W x h d G l v b n N o a X B z J n F 1 b 3 Q 7 O l t d L C Z x d W 9 0 O 2 N v b H V t b k l k Z W 5 0 a X R p Z X M m c X V v d D s 6 W y Z x d W 9 0 O 1 N l Y 3 R p b 2 4 x L 1 N v Y 2 l h b E x l Y X N p b m d F V i 9 B d X R v U m V t b 3 Z l Z E N v b H V t b n M x L n t D b 3 V u d H J 5 L D B 9 J n F 1 b 3 Q 7 L C Z x d W 9 0 O 1 N l Y 3 R p b 2 4 x L 1 N v Y 2 l h b E x l Y X N p b m d F V i 9 B d X R v U m V t b 3 Z l Z E N v b H V t b n M x L n t Z Z W F y L D F 9 J n F 1 b 3 Q 7 L C Z x d W 9 0 O 1 N l Y 3 R p b 2 4 x L 1 N v Y 2 l h b E x l Y X N p b m d F V i 9 B d X R v U m V t b 3 Z l Z E N v b H V t b n M x L n t T b 2 N p Y W x F V i w y f S Z x d W 9 0 O 1 0 s J n F 1 b 3 Q 7 Q 2 9 s d W 1 u Q 2 9 1 b n Q m c X V v d D s 6 M y w m c X V v d D t L Z X l D b 2 x 1 b W 5 O Y W 1 l c y Z x d W 9 0 O z p b X S w m c X V v d D t D b 2 x 1 b W 5 J Z G V u d G l 0 a W V z J n F 1 b 3 Q 7 O l s m c X V v d D t T Z W N 0 a W 9 u M S 9 T b 2 N p Y W x M Z W F z a W 5 n R V Y v Q X V 0 b 1 J l b W 9 2 Z W R D b 2 x 1 b W 5 z M S 5 7 Q 2 9 1 b n R y e S w w f S Z x d W 9 0 O y w m c X V v d D t T Z W N 0 a W 9 u M S 9 T b 2 N p Y W x M Z W F z a W 5 n R V Y v Q X V 0 b 1 J l b W 9 2 Z W R D b 2 x 1 b W 5 z M S 5 7 W W V h c i w x f S Z x d W 9 0 O y w m c X V v d D t T Z W N 0 a W 9 u M S 9 T b 2 N p Y W x M Z W F z a W 5 n R V Y v Q X V 0 b 1 J l b W 9 2 Z W R D b 2 x 1 b W 5 z M S 5 7 U 2 9 j a W F s R V Y s M n 0 m c X V v d D t d L C Z x d W 9 0 O 1 J l b G F 0 a W 9 u c 2 h p c E l u Z m 8 m c X V v d D s 6 W 1 1 9 I i A v P j w v U 3 R h Y m x l R W 5 0 c m l l c z 4 8 L 0 l 0 Z W 0 + P E l 0 Z W 0 + P E l 0 Z W 1 M b 2 N h d G l v b j 4 8 S X R l b V R 5 c G U + R m 9 y b X V s Y T w v S X R l b V R 5 c G U + P E l 0 Z W 1 Q Y X R o P l N l Y 3 R p b 2 4 x L 1 N v Y 2 l h b E x l Y X N p b m d F V i 9 T b 3 V y Y 2 U 8 L 0 l 0 Z W 1 Q Y X R o P j w v S X R l b U x v Y 2 F 0 a W 9 u P j x T d G F i b G V F b n R y a W V z I C 8 + P C 9 J d G V t P j x J d G V t P j x J d G V t T G 9 j Y X R p b 2 4 + P E l 0 Z W 1 U e X B l P k Z v c m 1 1 b G E 8 L 0 l 0 Z W 1 U e X B l P j x J d G V t U G F 0 a D 5 T Z W N 0 a W 9 u M S 9 T b 2 N p Y W x M Z W F z a W 5 n R V Y v Q 2 h h b m d l Z C U y M F R 5 c G U 8 L 0 l 0 Z W 1 Q Y X R o P j w v S X R l b U x v Y 2 F 0 a W 9 u P j x T d G F i b G V F b n R y a W V z I C 8 + P C 9 J d G V t P j x J d G V t P j x J d G V t T G 9 j Y X R p b 2 4 + P E l 0 Z W 1 U e X B l P k Z v c m 1 1 b G E 8 L 0 l 0 Z W 1 U e X B l P j x J d G V t U G F 0 a D 5 T Z W N 0 a W 9 u M S 9 T b 2 N p Y W x M Z W F z a W 5 n R V Y v V W 5 w a X Z v d G V k J T I w Q 2 9 s d W 1 u c z w v S X R l b V B h d G g + P C 9 J d G V t T G 9 j Y X R p b 2 4 + P F N 0 Y W J s Z U V u d H J p Z X M g L z 4 8 L 0 l 0 Z W 0 + P E l 0 Z W 0 + P E l 0 Z W 1 M b 2 N h d G l v b j 4 8 S X R l b V R 5 c G U + R m 9 y b X V s Y T w v S X R l b V R 5 c G U + P E l 0 Z W 1 Q Y X R o P l N l Y 3 R p b 2 4 x L 1 N v Y 2 l h b E x l Y X N p b m d F V i 9 S Z W 5 h b W V k J T I w Q 2 9 s d W 1 u c z w v S X R l b V B h d G g + P C 9 J d G V t T G 9 j Y X R p b 2 4 + P F N 0 Y W J s Z U V u d H J p Z X M g L z 4 8 L 0 l 0 Z W 0 + P E l 0 Z W 0 + P E l 0 Z W 1 M b 2 N h d G l v b j 4 8 S X R l b V R 5 c G U + R m 9 y b X V s Y T w v S X R l b V R 5 c G U + P E l 0 Z W 1 Q Y X R o P l N l Y 3 R p b 2 4 x L 0 R p c m V j d E l u Y 2 9 t Z V N 1 c H B v c n Q 8 L 0 l 0 Z W 1 Q Y X R o P j w v S X R l b U x v Y 2 F 0 a W 9 u P j x T d G F i b G V F b n R y a W V z P j x F b n R y e S B U e X B l P S J J c 1 B y a X Z h d G U i I F Z h b H V l P S J s M C I g L z 4 8 R W 5 0 c n k g V H l w Z T 0 i U X V l c n l J R C I g V m F s d W U 9 I n N l Z W Z j M j J j M y 0 y Y m J k L T Q w Z G Q t O D c 2 M i 0 4 N T Q 5 Y 2 Q 2 M m E 2 O D k i I C 8 + P E V u d H J 5 I F R 5 c G U 9 I k Z p b G x F b m F i b G V k I i B W Y W x 1 Z T 0 i b D A i I C 8 + P E V u d H J 5 I F R 5 c G U 9 I k J 1 Z m Z l c k 5 l e H R S Z W Z y Z X N o I i B W Y W x 1 Z T 0 i b D E i I C 8 + P E V u d H J 5 I F R 5 c G U 9 I l J l c 3 V s d F R 5 c G U i I F Z h b H V l P S J z V G F i b G U i I C 8 + P E V u d H J 5 I F R 5 c G U 9 I k 5 h b W V V c G R h d G V k Q W Z 0 Z X J G a W x s I i B W Y W x 1 Z T 0 i b D E i I C 8 + P E V u d H J 5 I F R 5 c G U 9 I k 5 h d m l n Y X R p b 2 5 T d G V w T m F t Z S I g V m F s d W U 9 I n N O Y X Z p Z 2 F 0 a W 9 u I i A v P j x F b n R y e S B U e X B l P S J G a W x s Z W R D b 2 1 w b G V 0 Z V J l c 3 V s d F R v V 2 9 y a 3 N o Z W V 0 I i B W Y W x 1 Z T 0 i b D A i I C 8 + P E V u d H J 5 I F R 5 c G U 9 I k Z p b G x U b 0 R h d G F N b 2 R l b E V u Y W J s Z W Q i I F Z h b H V l P S J s M C I g L z 4 8 R W 5 0 c n k g V H l w Z T 0 i R m l s b E 9 i a m V j d F R 5 c G U i I F Z h b H V l P S J z Q 2 9 u b m V j d G l v b k 9 u b H k i I C 8 + P E V u d H J 5 I F R 5 c G U 9 I k Z p b G x F c n J v c k N v Z G U i I F Z h b H V l P S J z V W 5 r b m 9 3 b i I g L z 4 8 R W 5 0 c n k g V H l w Z T 0 i Q W R k Z W R U b 0 R h d G F N b 2 R l b C I g V m F s d W U 9 I m w w I i A v P j x F b n R y e S B U e X B l P S J G a W x s T G F z d F V w Z G F 0 Z W Q i I F Z h b H V l P S J k M j A y N S 0 x M i 0 x N l Q x M D o 0 O D o 1 N S 4 z N D E 5 N j k 4 W i I g L z 4 8 R W 5 0 c n k g V H l w Z T 0 i R m l s b E N v b H V t b l R 5 c G V z I i B W Y W x 1 Z T 0 i c 0 J n W U E i I C 8 + P E V u d H J 5 I F R 5 c G U 9 I k Z p b G x D b 2 x 1 b W 5 O Y W 1 l c y I g V m F s d W U 9 I n N b J n F 1 b 3 Q 7 Q 2 9 1 b n R y e S Z x d W 9 0 O y w m c X V v d D t Z Z W F y J n F 1 b 3 Q 7 L C Z x d W 9 0 O 0 N s a W 1 h d G U g Z G l 2 a W R l b m Q m c X V v d D t d I i A v P j x F b n R y e S B U e X B l P S J G a W x s U 3 R h d H V z I i B W Y W x 1 Z T 0 i c 0 N v b X B s Z X R l I i A v P j x F b n R y e S B U e X B l P S J S Z W x h d G l v b n N o a X B J b m Z v Q 2 9 u d G F p b m V y I i B W Y W x 1 Z T 0 i c 3 s m c X V v d D t j b 2 x 1 b W 5 D b 3 V u d C Z x d W 9 0 O z o z L C Z x d W 9 0 O 2 t l e U N v b H V t b k 5 h b W V z J n F 1 b 3 Q 7 O l t d L C Z x d W 9 0 O 3 F 1 Z X J 5 U m V s Y X R p b 2 5 z a G l w c y Z x d W 9 0 O z p b X S w m c X V v d D t j b 2 x 1 b W 5 J Z G V u d G l 0 a W V z J n F 1 b 3 Q 7 O l s m c X V v d D t T Z W N 0 a W 9 u M S 9 D b G l t Y X R l R G l 2 a W R l b m Q v Q X V 0 b 1 J l b W 9 2 Z W R D b 2 x 1 b W 5 z M S 5 7 Q 2 9 1 b n R y e S w w f S Z x d W 9 0 O y w m c X V v d D t T Z W N 0 a W 9 u M S 9 D b G l t Y X R l R G l 2 a W R l b m Q v Q X V 0 b 1 J l b W 9 2 Z W R D b 2 x 1 b W 5 z M S 5 7 W W V h c i w x f S Z x d W 9 0 O y w m c X V v d D t T Z W N 0 a W 9 u M S 9 D b G l t Y X R l R G l 2 a W R l b m Q v Q X V 0 b 1 J l b W 9 2 Z W R D b 2 x 1 b W 5 z M S 5 7 Q 2 x p b W F 0 Z S B k a X Z p Z G V u Z C w y f S Z x d W 9 0 O 1 0 s J n F 1 b 3 Q 7 Q 2 9 s d W 1 u Q 2 9 1 b n Q m c X V v d D s 6 M y w m c X V v d D t L Z X l D b 2 x 1 b W 5 O Y W 1 l c y Z x d W 9 0 O z p b X S w m c X V v d D t D b 2 x 1 b W 5 J Z G V u d G l 0 a W V z J n F 1 b 3 Q 7 O l s m c X V v d D t T Z W N 0 a W 9 u M S 9 D b G l t Y X R l R G l 2 a W R l b m Q v Q X V 0 b 1 J l b W 9 2 Z W R D b 2 x 1 b W 5 z M S 5 7 Q 2 9 1 b n R y e S w w f S Z x d W 9 0 O y w m c X V v d D t T Z W N 0 a W 9 u M S 9 D b G l t Y X R l R G l 2 a W R l b m Q v Q X V 0 b 1 J l b W 9 2 Z W R D b 2 x 1 b W 5 z M S 5 7 W W V h c i w x f S Z x d W 9 0 O y w m c X V v d D t T Z W N 0 a W 9 u M S 9 D b G l t Y X R l R G l 2 a W R l b m Q v Q X V 0 b 1 J l b W 9 2 Z W R D b 2 x 1 b W 5 z M S 5 7 Q 2 x p b W F 0 Z S B k a X Z p Z G V u Z C w y f S Z x d W 9 0 O 1 0 s J n F 1 b 3 Q 7 U m V s Y X R p b 2 5 z a G l w S W 5 m b y Z x d W 9 0 O z p b X X 0 i I C 8 + P C 9 T d G F i b G V F b n R y a W V z P j w v S X R l b T 4 8 S X R l b T 4 8 S X R l b U x v Y 2 F 0 a W 9 u P j x J d G V t V H l w Z T 5 G b 3 J t d W x h P C 9 J d G V t V H l w Z T 4 8 S X R l b V B h d G g + U 2 V j d G l v b j E v R G l y Z W N 0 S W 5 j b 2 1 l U 3 V w c G 9 y d C 9 T b 3 V y Y 2 U 8 L 0 l 0 Z W 1 Q Y X R o P j w v S X R l b U x v Y 2 F 0 a W 9 u P j x T d G F i b G V F b n R y a W V z I C 8 + P C 9 J d G V t P j x J d G V t P j x J d G V t T G 9 j Y X R p b 2 4 + P E l 0 Z W 1 U e X B l P k Z v c m 1 1 b G E 8 L 0 l 0 Z W 1 U e X B l P j x J d G V t U G F 0 a D 5 T Z W N 0 a W 9 u M S 9 E a X J l Y 3 R J b m N v b W V T d X B w b 3 J 0 L 0 N o Y W 5 n Z W Q l M j B U e X B l P C 9 J d G V t U G F 0 a D 4 8 L 0 l 0 Z W 1 M b 2 N h d G l v b j 4 8 U 3 R h Y m x l R W 5 0 c m l l c y A v P j w v S X R l b T 4 8 S X R l b T 4 8 S X R l b U x v Y 2 F 0 a W 9 u P j x J d G V t V H l w Z T 5 G b 3 J t d W x h P C 9 J d G V t V H l w Z T 4 8 S X R l b V B h d G g + U 2 V j d G l v b j E v R G l y Z W N 0 S W 5 j b 2 1 l U 3 V w c G 9 y d C 9 V b n B p d m 9 0 Z W Q l M j B D b 2 x 1 b W 5 z P C 9 J d G V t U G F 0 a D 4 8 L 0 l 0 Z W 1 M b 2 N h d G l v b j 4 8 U 3 R h Y m x l R W 5 0 c m l l c y A v P j w v S X R l b T 4 8 S X R l b T 4 8 S X R l b U x v Y 2 F 0 a W 9 u P j x J d G V t V H l w Z T 5 G b 3 J t d W x h P C 9 J d G V t V H l w Z T 4 8 S X R l b V B h d G g + U 2 V j d G l v b j E v R G l y Z W N 0 S W 5 j b 2 1 l U 3 V w c G 9 y d C 9 S Z W 5 h b W V k J T I w Q 2 9 s d W 1 u c z w v S X R l b V B h d G g + P C 9 J d G V t T G 9 j Y X R p b 2 4 + P F N 0 Y W J s Z U V u d H J p Z X M g L z 4 8 L 0 l 0 Z W 0 + P E l 0 Z W 0 + P E l 0 Z W 1 M b 2 N h d G l v b j 4 8 S X R l b V R 5 c G U + R m 9 y b X V s Y T w v S X R l b V R 5 c G U + P E l 0 Z W 1 Q Y X R o P l N l Y 3 R p b 2 4 x L 1 N v Y 2 l h b E x l Y X N p b m d I U D w v S X R l b V B h d G g + P C 9 J d G V t T G 9 j Y X R p b 2 4 + P F N 0 Y W J s Z U V u d H J p Z X M + P E V u d H J 5 I F R 5 c G U 9 I k l z U H J p d m F 0 Z S I g V m F s d W U 9 I m w w I i A v P j x F b n R y e S B U e X B l P S J R d W V y e U l E I i B W Y W x 1 Z T 0 i c z R k Z m U 3 Z j E y L T d i O T I t N D k 4 Y S 1 i M j R m L T Q 0 Z m Y x M m Q 5 Y T Z i Z C I g L z 4 8 R W 5 0 c n k g V H l w Z T 0 i R m l s b E V u Y W J s Z W Q i I F Z h b H V l P S J s M C I g L z 4 8 R W 5 0 c n k g V H l w Z T 0 i Q n V m Z m V y T m V 4 d F J l Z n J l c 2 g i I F Z h b H V l P S J s M S I g L z 4 8 R W 5 0 c n k g V H l w Z T 0 i U m V z d W x 0 V H l w Z S I g V m F s d W U 9 I n N U Y W J s Z S I g L z 4 8 R W 5 0 c n k g V H l w Z T 0 i T m F t Z V V w Z G F 0 Z W R B Z n R l c k Z p b G w i I F Z h b H V l P S J s M S I g L z 4 8 R W 5 0 c n k g V H l w Z T 0 i T m F 2 a W d h d G l v b l N 0 Z X B O Y W 1 l I i B W Y W x 1 Z T 0 i c 0 5 h d m l n Y X R p b 2 4 i I C 8 + P E V u d H J 5 I F R 5 c G U 9 I k Z p b G x l Z E N v b X B s Z X R l U m V z d W x 0 V G 9 X b 3 J r c 2 h l Z X Q i I F Z h b H V l P S J s M S I g L z 4 8 R W 5 0 c n k g V H l w Z T 0 i R m l s b E V y c m 9 y Q 2 9 1 b n Q i I F Z h b H V l P S J s M C I g L z 4 8 R W 5 0 c n k g V H l w Z T 0 i R m l s b E V y c m 9 y Q 2 9 k Z S I g V m F s d W U 9 I n N V b m t u b 3 d u I i A v P j x F b n R y e S B U e X B l P S J G a W x s V G 9 E Y X R h T W 9 k Z W x F b m F i b G V k I i B W Y W x 1 Z T 0 i b D A i I C 8 + P E V u d H J 5 I F R 5 c G U 9 I k Z p b G x P Y m p l Y 3 R U e X B l I i B W Y W x 1 Z T 0 i c 0 N v b m 5 l Y 3 R p b 2 5 P b m x 5 I i A v P j x F b n R y e S B U e X B l P S J G a W x s T G F z d F V w Z G F 0 Z W Q i I F Z h b H V l P S J k M j A y N S 0 x M i 0 x N l Q x M D o 0 O D o 1 N S 4 z N D c x N T U 0 W i I g L z 4 8 R W 5 0 c n k g V H l w Z T 0 i R m l s b E N v b H V t b l R 5 c G V z I i B W Y W x 1 Z T 0 i c 0 J n W U Y i I C 8 + P E V u d H J 5 I F R 5 c G U 9 I k Z p b G x D b 3 V u d C I g V m F s d W U 9 I m w y O D A i I C 8 + P E V u d H J 5 I F R 5 c G U 9 I k Z p b G x D b 2 x 1 b W 5 O Y W 1 l c y I g V m F s d W U 9 I n N b J n F 1 b 3 Q 7 Q 2 9 1 b n R y e S Z x d W 9 0 O y w m c X V v d D t Z Z W F y J n F 1 b 3 Q 7 L C Z x d W 9 0 O 1 N v Y 2 l h b E x l Y X N p b m c g S F A m c X V v d D t d I i A v P j x F b n R y e S B U e X B l P S J B Z G R l Z F R v R G F 0 Y U 1 v Z G V s I i B W Y W x 1 Z T 0 i b D A i I C 8 + P E V u d H J 5 I F R 5 c G U 9 I k Z p b G x T d G F 0 d X M i I F Z h b H V l P S J z Q 2 9 t c G x l d G U i I C 8 + P E V u d H J 5 I F R 5 c G U 9 I l J l b G F 0 a W 9 u c 2 h p c E l u Z m 9 D b 2 5 0 Y W l u Z X I i I F Z h b H V l P S J z e y Z x d W 9 0 O 2 N v b H V t b k N v d W 5 0 J n F 1 b 3 Q 7 O j M s J n F 1 b 3 Q 7 a 2 V 5 Q 2 9 s d W 1 u T m F t Z X M m c X V v d D s 6 W 1 0 s J n F 1 b 3 Q 7 c X V l c n l S Z W x h d G l v b n N o a X B z J n F 1 b 3 Q 7 O l t d L C Z x d W 9 0 O 2 N v b H V t b k l k Z W 5 0 a X R p Z X M m c X V v d D s 6 W y Z x d W 9 0 O 1 N l Y 3 R p b 2 4 x L 1 N v Y 2 l h b E x l Y X N p b m R I U C 9 B d X R v U m V t b 3 Z l Z E N v b H V t b n M x L n t D b 3 V u d H J 5 L D B 9 J n F 1 b 3 Q 7 L C Z x d W 9 0 O 1 N l Y 3 R p b 2 4 x L 1 N v Y 2 l h b E x l Y X N p b m R I U C 9 B d X R v U m V t b 3 Z l Z E N v b H V t b n M x L n t Z Z W F y L D F 9 J n F 1 b 3 Q 7 L C Z x d W 9 0 O 1 N l Y 3 R p b 2 4 x L 1 N v Y 2 l h b E x l Y X N p b m R I U C 9 B d X R v U m V t b 3 Z l Z E N v b H V t b n M x L n t T b 2 N p Y W x M Z W F z a W 5 n I E h Q L D J 9 J n F 1 b 3 Q 7 X S w m c X V v d D t D b 2 x 1 b W 5 D b 3 V u d C Z x d W 9 0 O z o z L C Z x d W 9 0 O 0 t l e U N v b H V t b k 5 h b W V z J n F 1 b 3 Q 7 O l t d L C Z x d W 9 0 O 0 N v b H V t b k l k Z W 5 0 a X R p Z X M m c X V v d D s 6 W y Z x d W 9 0 O 1 N l Y 3 R p b 2 4 x L 1 N v Y 2 l h b E x l Y X N p b m R I U C 9 B d X R v U m V t b 3 Z l Z E N v b H V t b n M x L n t D b 3 V u d H J 5 L D B 9 J n F 1 b 3 Q 7 L C Z x d W 9 0 O 1 N l Y 3 R p b 2 4 x L 1 N v Y 2 l h b E x l Y X N p b m R I U C 9 B d X R v U m V t b 3 Z l Z E N v b H V t b n M x L n t Z Z W F y L D F 9 J n F 1 b 3 Q 7 L C Z x d W 9 0 O 1 N l Y 3 R p b 2 4 x L 1 N v Y 2 l h b E x l Y X N p b m R I U C 9 B d X R v U m V t b 3 Z l Z E N v b H V t b n M x L n t T b 2 N p Y W x M Z W F z a W 5 n I E h Q L D J 9 J n F 1 b 3 Q 7 X S w m c X V v d D t S Z W x h d G l v b n N o a X B J b m Z v J n F 1 b 3 Q 7 O l t d f S I g L z 4 8 L 1 N 0 Y W J s Z U V u d H J p Z X M + P C 9 J d G V t P j x J d G V t P j x J d G V t T G 9 j Y X R p b 2 4 + P E l 0 Z W 1 U e X B l P k Z v c m 1 1 b G E 8 L 0 l 0 Z W 1 U e X B l P j x J d G V t U G F 0 a D 5 T Z W N 0 a W 9 u M S 9 T b 2 N p Y W x M Z W F z a W 5 n S F A v U 2 9 1 c m N l P C 9 J d G V t U G F 0 a D 4 8 L 0 l 0 Z W 1 M b 2 N h d G l v b j 4 8 U 3 R h Y m x l R W 5 0 c m l l c y A v P j w v S X R l b T 4 8 S X R l b T 4 8 S X R l b U x v Y 2 F 0 a W 9 u P j x J d G V t V H l w Z T 5 G b 3 J t d W x h P C 9 J d G V t V H l w Z T 4 8 S X R l b V B h d G g + U 2 V j d G l v b j E v U 2 9 j a W F s T G V h c 2 l u Z 0 h Q L 0 N o Y W 5 n Z W Q l M j B U e X B l P C 9 J d G V t U G F 0 a D 4 8 L 0 l 0 Z W 1 M b 2 N h d G l v b j 4 8 U 3 R h Y m x l R W 5 0 c m l l c y A v P j w v S X R l b T 4 8 S X R l b T 4 8 S X R l b U x v Y 2 F 0 a W 9 u P j x J d G V t V H l w Z T 5 G b 3 J t d W x h P C 9 J d G V t V H l w Z T 4 8 S X R l b V B h d G g + U 2 V j d G l v b j E v U 2 9 j a W F s T G V h c 2 l u Z 0 h Q L 1 V u c G l 2 b 3 R l Z C U y M E N v b H V t b n M 8 L 0 l 0 Z W 1 Q Y X R o P j w v S X R l b U x v Y 2 F 0 a W 9 u P j x T d G F i b G V F b n R y a W V z I C 8 + P C 9 J d G V t P j x J d G V t P j x J d G V t T G 9 j Y X R p b 2 4 + P E l 0 Z W 1 U e X B l P k Z v c m 1 1 b G E 8 L 0 l 0 Z W 1 U e X B l P j x J d G V t U G F 0 a D 5 T Z W N 0 a W 9 u M S 9 T b 2 N p Y W x M Z W F z a W 5 n S F A v U m V u Y W 1 l Z C U y M E N v b H V t b n M 8 L 0 l 0 Z W 1 Q Y X R o P j w v S X R l b U x v Y 2 F 0 a W 9 u P j x T d G F i b G V F b n R y a W V z I C 8 + P C 9 J d G V t P j x J d G V t P j x J d G V t T G 9 j Y X R p b 2 4 + P E l 0 Z W 1 U e X B l P k Z v c m 1 1 b G E 8 L 0 l 0 Z W 1 U e X B l P j x J d G V t U G F 0 a D 5 T Z W N 0 a W 9 u M S 9 N Y X g l M j B E S V M l M j B w Z X I l M j B j Y X A 8 L 0 l 0 Z W 1 Q Y X R o P j w v S X R l b U x v Y 2 F 0 a W 9 u P j x T d G F i b G V F b n R y a W V z P j x F b n R y e S B U e X B l P S J J c 1 B y a X Z h d G U i I F Z h b H V l P S J s M C I g L z 4 8 R W 5 0 c n k g V H l w Z T 0 i U X V l c n l J R C I g V m F s d W U 9 I n M 3 M T l l Z W F i M i 1 h Y m Q 5 L T Q 5 O W M t O W E z Z C 1 j N D F i Z D M w M G I 2 N W Q i I C 8 + P E V u d H J 5 I F R 5 c G U 9 I k Z p b G x F b m F i b G V k I i B W Y W x 1 Z T 0 i b D A i I C 8 + P E V u d H J 5 I F R 5 c G U 9 I k J 1 Z m Z l c k 5 l e H R S Z W Z y Z X N o I i B W Y W x 1 Z T 0 i b D E i I C 8 + P E V u d H J 5 I F R 5 c G U 9 I l J l c 3 V s d F R 5 c G U i I F Z h b H V l P S J z V G F i b G U i I C 8 + P E V u d H J 5 I F R 5 c G U 9 I k 5 h b W V V c G R h d G V k Q W Z 0 Z X J G a W x s I i B W Y W x 1 Z T 0 i b D E i I C 8 + P E V u d H J 5 I F R 5 c G U 9 I k 5 h d m l n Y X R p b 2 5 T d G V w T m F t Z S I g V m F s d W U 9 I n N O Y X Z p Z 2 F 0 a W 9 u I i A v P j x F b n R y e S B U e X B l P S J G a W x s Z W R D b 2 1 w b G V 0 Z V J l c 3 V s d F R v V 2 9 y a 3 N o Z W V 0 I i B W Y W x 1 Z T 0 i b D A i I C 8 + P E V u d H J 5 I F R 5 c G U 9 I k Z p b G x U b 0 R h d G F N b 2 R l b E V u Y W J s Z W Q i I F Z h b H V l P S J s M C I g L z 4 8 R W 5 0 c n k g V H l w Z T 0 i R m l s b E 9 i a m V j d F R 5 c G U i I F Z h b H V l P S J z Q 2 9 u b m V j d G l v b k 9 u b H k i I C 8 + P E V u d H J 5 I F R 5 c G U 9 I k Z p b G x F c n J v c k N v Z G U i I F Z h b H V l P S J z V W 5 r b m 9 3 b i I g L z 4 8 R W 5 0 c n k g V H l w Z T 0 i Q W R k Z W R U b 0 R h d G F N b 2 R l b C I g V m F s d W U 9 I m w w I i A v P j x F b n R y e S B U e X B l P S J G a W x s T G F z d F V w Z G F 0 Z W Q i I F Z h b H V l P S J k M j A y N S 0 x M i 0 x N l Q x M D o 0 O D o 1 N S 4 z M z M z N j A 2 W i I g L z 4 8 R W 5 0 c n k g V H l w Z T 0 i R m l s b E N v b H V t b l R 5 c G V z I i B W Y W x 1 Z T 0 i c 0 J n W U E i I C 8 + P E V u d H J 5 I F R 5 c G U 9 I k Z p b G x D b 2 x 1 b W 5 O Y W 1 l c y I g V m F s d W U 9 I n N b J n F 1 b 3 Q 7 Q 2 9 1 b n R y e S Z x d W 9 0 O y w m c X V v d D t Z Z W F y J n F 1 b 3 Q 7 L C Z x d W 9 0 O 0 N s a W 1 h d G U g Z G l 2 a W R l b m Q g c G V y I G N h c C Z x d W 9 0 O 1 0 i I C 8 + P E V u d H J 5 I F R 5 c G U 9 I k Z p b G x T d G F 0 d X M i I F Z h b H V l P S J z Q 2 9 t c G x l d G U i I C 8 + P E V u d H J 5 I F R 5 c G U 9 I l J l b G F 0 a W 9 u c 2 h p c E l u Z m 9 D b 2 5 0 Y W l u Z X I i I F Z h b H V l P S J z e y Z x d W 9 0 O 2 N v b H V t b k N v d W 5 0 J n F 1 b 3 Q 7 O j M s J n F 1 b 3 Q 7 a 2 V 5 Q 2 9 s d W 1 u T m F t Z X M m c X V v d D s 6 W 1 0 s J n F 1 b 3 Q 7 c X V l c n l S Z W x h d G l v b n N o a X B z J n F 1 b 3 Q 7 O l t d L C Z x d W 9 0 O 2 N v b H V t b k l k Z W 5 0 a X R p Z X M m c X V v d D s 6 W y Z x d W 9 0 O 1 N l Y 3 R p b 2 4 x L 0 1 h e C B j b G l t Y X R l I G R p d m l k Z W 5 0 I H B l c i B j Y X A v Q X V 0 b 1 J l b W 9 2 Z W R D b 2 x 1 b W 5 z M S 5 7 Q 2 9 1 b n R y e S w w f S Z x d W 9 0 O y w m c X V v d D t T Z W N 0 a W 9 u M S 9 N Y X g g Y 2 x p b W F 0 Z S B k a X Z p Z G V u d C B w Z X I g Y 2 F w L 0 F 1 d G 9 S Z W 1 v d m V k Q 2 9 s d W 1 u c z E u e 1 l l Y X I s M X 0 m c X V v d D s s J n F 1 b 3 Q 7 U 2 V j d G l v b j E v T W F 4 I G N s a W 1 h d G U g Z G l 2 a W R l b n Q g c G V y I G N h c C 9 B d X R v U m V t b 3 Z l Z E N v b H V t b n M x L n t D b G l t Y X R l I G R p d m l k Z W 5 k I H B l c i B j Y X A s M n 0 m c X V v d D t d L C Z x d W 9 0 O 0 N v b H V t b k N v d W 5 0 J n F 1 b 3 Q 7 O j M s J n F 1 b 3 Q 7 S 2 V 5 Q 2 9 s d W 1 u T m F t Z X M m c X V v d D s 6 W 1 0 s J n F 1 b 3 Q 7 Q 2 9 s d W 1 u S W R l b n R p d G l l c y Z x d W 9 0 O z p b J n F 1 b 3 Q 7 U 2 V j d G l v b j E v T W F 4 I G N s a W 1 h d G U g Z G l 2 a W R l b n Q g c G V y I G N h c C 9 B d X R v U m V t b 3 Z l Z E N v b H V t b n M x L n t D b 3 V u d H J 5 L D B 9 J n F 1 b 3 Q 7 L C Z x d W 9 0 O 1 N l Y 3 R p b 2 4 x L 0 1 h e C B j b G l t Y X R l I G R p d m l k Z W 5 0 I H B l c i B j Y X A v Q X V 0 b 1 J l b W 9 2 Z W R D b 2 x 1 b W 5 z M S 5 7 W W V h c i w x f S Z x d W 9 0 O y w m c X V v d D t T Z W N 0 a W 9 u M S 9 N Y X g g Y 2 x p b W F 0 Z S B k a X Z p Z G V u d C B w Z X I g Y 2 F w L 0 F 1 d G 9 S Z W 1 v d m V k Q 2 9 s d W 1 u c z E u e 0 N s a W 1 h d G U g Z G l 2 a W R l b m Q g c G V y I G N h c C w y f S Z x d W 9 0 O 1 0 s J n F 1 b 3 Q 7 U m V s Y X R p b 2 5 z a G l w S W 5 m b y Z x d W 9 0 O z p b X X 0 i I C 8 + P C 9 T d G F i b G V F b n R y a W V z P j w v S X R l b T 4 8 S X R l b T 4 8 S X R l b U x v Y 2 F 0 a W 9 u P j x J d G V t V H l w Z T 5 G b 3 J t d W x h P C 9 J d G V t V H l w Z T 4 8 S X R l b V B h d G g + U 2 V j d G l v b j E v T W F 4 J T I w R E l T J T I w c G V y J T I w Y 2 F w L 1 N v d X J j Z T w v S X R l b V B h d G g + P C 9 J d G V t T G 9 j Y X R p b 2 4 + P F N 0 Y W J s Z U V u d H J p Z X M g L z 4 8 L 0 l 0 Z W 0 + P E l 0 Z W 0 + P E l 0 Z W 1 M b 2 N h d G l v b j 4 8 S X R l b V R 5 c G U + R m 9 y b X V s Y T w v S X R l b V R 5 c G U + P E l 0 Z W 1 Q Y X R o P l N l Y 3 R p b 2 4 x L 0 1 h e C U y M E R J U y U y M H B l c i U y M G N h c C 9 D a G F u Z 2 V k J T I w V H l w Z T w v S X R l b V B h d G g + P C 9 J d G V t T G 9 j Y X R p b 2 4 + P F N 0 Y W J s Z U V u d H J p Z X M g L z 4 8 L 0 l 0 Z W 0 + P E l 0 Z W 0 + P E l 0 Z W 1 M b 2 N h d G l v b j 4 8 S X R l b V R 5 c G U + R m 9 y b X V s Y T w v S X R l b V R 5 c G U + P E l 0 Z W 1 Q Y X R o P l N l Y 3 R p b 2 4 x L 0 1 h e C U y M E R J U y U y M H B l c i U y M G N h c C 9 V b n B p d m 9 0 Z W Q l M j B D b 2 x 1 b W 5 z P C 9 J d G V t U G F 0 a D 4 8 L 0 l 0 Z W 1 M b 2 N h d G l v b j 4 8 U 3 R h Y m x l R W 5 0 c m l l c y A v P j w v S X R l b T 4 8 S X R l b T 4 8 S X R l b U x v Y 2 F 0 a W 9 u P j x J d G V t V H l w Z T 5 G b 3 J t d W x h P C 9 J d G V t V H l w Z T 4 8 S X R l b V B h d G g + U 2 V j d G l v b j E v T W F 4 J T I w R E l T J T I w c G V y J T I w Y 2 F w L 1 J l b m F t Z W Q l M j B D b 2 x 1 b W 5 z P C 9 J d G V t U G F 0 a D 4 8 L 0 l 0 Z W 1 M b 2 N h d G l v b j 4 8 U 3 R h Y m x l R W 5 0 c m l l c y A v P j w v S X R l b T 4 8 S X R l b T 4 8 S X R l b U x v Y 2 F 0 a W 9 u P j x J d G V t V H l w Z T 5 G b 3 J t d W x h P C 9 J d G V t V H l w Z T 4 8 S X R l b V B h d G g + U 2 V j d G l v b j E v R E l T J T I w c G V y J T I w Y 2 F w a X R h J T I w L S U y M G x v d 2 V y J T I w a W 5 j b 2 1 l J T I w b 2 5 s e T w v S X R l b V B h d G g + P C 9 J d G V t T G 9 j Y X R p b 2 4 + P F N 0 Y W J s Z U V u d H J p Z X M + P E V u d H J 5 I F R 5 c G U 9 I k l z U H J p d m F 0 Z S I g V m F s d W U 9 I m w w I i A v P j x F b n R y e S B U e X B l P S J R d W V y e U l E I i B W Y W x 1 Z T 0 i c 2 Z k M D c 0 N m E 5 L T R m Y j A t N G F i Z i 0 5 N j U 2 L W I 5 N 2 Y 0 N z V i Z D c 3 N C I g L z 4 8 R W 5 0 c n k g V H l w Z T 0 i R m l s b E V u Y W J s Z W Q i I F Z h b H V l P S J s M C I g L z 4 8 R W 5 0 c n k g V H l w Z T 0 i Q n V m Z m V y T m V 4 d F J l Z n J l c 2 g i I F Z h b H V l P S J s M S I g L z 4 8 R W 5 0 c n k g V H l w Z T 0 i U m V z d W x 0 V H l w Z S I g V m F s d W U 9 I n N U Y W J s Z S I g L z 4 8 R W 5 0 c n k g V H l w Z T 0 i T m F t Z V V w Z G F 0 Z W R B Z n R l c k Z p b G w i I F Z h b H V l P S J s M S I g L z 4 8 R W 5 0 c n k g V H l w Z T 0 i T m F 2 a W d h d G l v b l N 0 Z X B O Y W 1 l I i B W Y W x 1 Z T 0 i c 0 5 h d m l n Y X R p b 2 4 i I C 8 + P E V u d H J 5 I F R 5 c G U 9 I k Z p b G x l Z E N v b X B s Z X R l U m V z d W x 0 V G 9 X b 3 J r c 2 h l Z X Q i I F Z h b H V l P S J s M S I g L z 4 8 R W 5 0 c n k g V H l w Z T 0 i R m l s b E V y c m 9 y Q 2 9 1 b n Q i I F Z h b H V l P S J s M C I g L z 4 8 R W 5 0 c n k g V H l w Z T 0 i R m l s b E V y c m 9 y Q 2 9 k Z S I g V m F s d W U 9 I n N V b m t u b 3 d u I i A v P j x F b n R y e S B U e X B l P S J G a W x s V G 9 E Y X R h T W 9 k Z W x F b m F i b G V k I i B W Y W x 1 Z T 0 i b D A i I C 8 + P E V u d H J 5 I F R 5 c G U 9 I k Z p b G x P Y m p l Y 3 R U e X B l I i B W Y W x 1 Z T 0 i c 0 N v b m 5 l Y 3 R p b 2 5 P b m x 5 I i A v P j x F b n R y e S B U e X B l P S J G a W x s T G F z d F V w Z G F 0 Z W Q i I F Z h b H V l P S J k M j A y N S 0 x M i 0 x N l Q x M D o 0 O D o 1 N S 4 z M j A y N D k 0 W i I g L z 4 8 R W 5 0 c n k g V H l w Z T 0 i R m l s b E N v b H V t b l R 5 c G V z I i B W Y W x 1 Z T 0 i c 0 J n W U Y i I C 8 + P E V u d H J 5 I F R 5 c G U 9 I k Z p b G x D b 3 V u d C I g V m F s d W U 9 I m w y N T I i I C 8 + P E V u d H J 5 I F R 5 c G U 9 I k Z p b G x D b 2 x 1 b W 5 O Y W 1 l c y I g V m F s d W U 9 I n N b J n F 1 b 3 Q 7 Q 2 9 1 b n R y e S Z x d W 9 0 O y w m c X V v d D t Z Z W F y J n F 1 b 3 Q 7 L C Z x d W 9 0 O 0 1 h e C B y Z W R p c 3 R y a W J 1 d G l v b i B w Z X I g Y 2 F w a X R h I C 0 g b G 9 3 Z X I g a W 5 j b 2 1 l I G h v d X N l a G 9 s Z H M m c X V v d D t d I i A v P j x F b n R y e S B U e X B l P S J B Z G R l Z F R v R G F 0 Y U 1 v Z G V s I i B W Y W x 1 Z T 0 i b D A i I C 8 + P E V u d H J 5 I F R 5 c G U 9 I k Z p b G x T d G F 0 d X M i I F Z h b H V l P S J z Q 2 9 t c G x l d G U i I C 8 + P E V u d H J 5 I F R 5 c G U 9 I l J l b G F 0 a W 9 u c 2 h p c E l u Z m 9 D b 2 5 0 Y W l u Z X I i I F Z h b H V l P S J z e y Z x d W 9 0 O 2 N v b H V t b k N v d W 5 0 J n F 1 b 3 Q 7 O j M s J n F 1 b 3 Q 7 a 2 V 5 Q 2 9 s d W 1 u T m F t Z X M m c X V v d D s 6 W 1 0 s J n F 1 b 3 Q 7 c X V l c n l S Z W x h d G l v b n N o a X B z J n F 1 b 3 Q 7 O l t d L C Z x d W 9 0 O 2 N v b H V t b k l k Z W 5 0 a X R p Z X M m c X V v d D s 6 W y Z x d W 9 0 O 1 N l Y 3 R p b 2 4 x L 1 J l Z G l z d H J p I H B l c i B j Y X B p d G E g L S B s b 3 d l c i B p b m N v b W U g b 2 5 s e S 9 B d X R v U m V t b 3 Z l Z E N v b H V t b n M x L n t D b 3 V u d H J 5 L D B 9 J n F 1 b 3 Q 7 L C Z x d W 9 0 O 1 N l Y 3 R p b 2 4 x L 1 J l Z G l z d H J p I H B l c i B j Y X B p d G E g L S B s b 3 d l c i B p b m N v b W U g b 2 5 s e S 9 B d X R v U m V t b 3 Z l Z E N v b H V t b n M x L n t Z Z W F y L D F 9 J n F 1 b 3 Q 7 L C Z x d W 9 0 O 1 N l Y 3 R p b 2 4 x L 1 J l Z G l z d H J p I H B l c i B j Y X B p d G E g L S B s b 3 d l c i B p b m N v b W U g b 2 5 s e S 9 B d X R v U m V t b 3 Z l Z E N v b H V t b n M x L n t N Y X g g c m V k a X N 0 c m l i d X R p b 2 4 g c G V y I G N h c G l 0 Y S A t I G x v d 2 V y I G l u Y 2 9 t Z S B o b 3 V z Z W h v b G R z L D J 9 J n F 1 b 3 Q 7 X S w m c X V v d D t D b 2 x 1 b W 5 D b 3 V u d C Z x d W 9 0 O z o z L C Z x d W 9 0 O 0 t l e U N v b H V t b k 5 h b W V z J n F 1 b 3 Q 7 O l t d L C Z x d W 9 0 O 0 N v b H V t b k l k Z W 5 0 a X R p Z X M m c X V v d D s 6 W y Z x d W 9 0 O 1 N l Y 3 R p b 2 4 x L 1 J l Z G l z d H J p I H B l c i B j Y X B p d G E g L S B s b 3 d l c i B p b m N v b W U g b 2 5 s e S 9 B d X R v U m V t b 3 Z l Z E N v b H V t b n M x L n t D b 3 V u d H J 5 L D B 9 J n F 1 b 3 Q 7 L C Z x d W 9 0 O 1 N l Y 3 R p b 2 4 x L 1 J l Z G l z d H J p I H B l c i B j Y X B p d G E g L S B s b 3 d l c i B p b m N v b W U g b 2 5 s e S 9 B d X R v U m V t b 3 Z l Z E N v b H V t b n M x L n t Z Z W F y L D F 9 J n F 1 b 3 Q 7 L C Z x d W 9 0 O 1 N l Y 3 R p b 2 4 x L 1 J l Z G l z d H J p I H B l c i B j Y X B p d G E g L S B s b 3 d l c i B p b m N v b W U g b 2 5 s e S 9 B d X R v U m V t b 3 Z l Z E N v b H V t b n M x L n t N Y X g g c m V k a X N 0 c m l i d X R p b 2 4 g c G V y I G N h c G l 0 Y S A t I G x v d 2 V y I G l u Y 2 9 t Z S B o b 3 V z Z W h v b G R z L D J 9 J n F 1 b 3 Q 7 X S w m c X V v d D t S Z W x h d G l v b n N o a X B J b m Z v J n F 1 b 3 Q 7 O l t d f S I g L z 4 8 L 1 N 0 Y W J s Z U V u d H J p Z X M + P C 9 J d G V t P j x J d G V t P j x J d G V t T G 9 j Y X R p b 2 4 + P E l 0 Z W 1 U e X B l P k Z v c m 1 1 b G E 8 L 0 l 0 Z W 1 U e X B l P j x J d G V t U G F 0 a D 5 T Z W N 0 a W 9 u M S 9 E S V M l M j B w Z X I l M j B j Y X B p d G E l M j A t J T I w b G 9 3 Z X I l M j B p b m N v b W U l M j B v b m x 5 L 1 N v d X J j Z T w v S X R l b V B h d G g + P C 9 J d G V t T G 9 j Y X R p b 2 4 + P F N 0 Y W J s Z U V u d H J p Z X M g L z 4 8 L 0 l 0 Z W 0 + P E l 0 Z W 0 + P E l 0 Z W 1 M b 2 N h d G l v b j 4 8 S X R l b V R 5 c G U + R m 9 y b X V s Y T w v S X R l b V R 5 c G U + P E l 0 Z W 1 Q Y X R o P l N l Y 3 R p b 2 4 x L 0 R J U y U y M H B l c i U y M G N h c G l 0 Y S U y M C 0 l M j B s b 3 d l c i U y M G l u Y 2 9 t Z S U y M G 9 u b H k v Q 2 h h b m d l Z C U y M F R 5 c G U 8 L 0 l 0 Z W 1 Q Y X R o P j w v S X R l b U x v Y 2 F 0 a W 9 u P j x T d G F i b G V F b n R y a W V z I C 8 + P C 9 J d G V t P j x J d G V t P j x J d G V t T G 9 j Y X R p b 2 4 + P E l 0 Z W 1 U e X B l P k Z v c m 1 1 b G E 8 L 0 l 0 Z W 1 U e X B l P j x J d G V t U G F 0 a D 5 T Z W N 0 a W 9 u M S 9 E S V M l M j B w Z X I l M j B j Y X B p d G E l M j A t J T I w b G 9 3 Z X I l M j B p b m N v b W U l M j B v b m x 5 L 1 V u c G l 2 b 3 R l Z C U y M E N v b H V t b n M 8 L 0 l 0 Z W 1 Q Y X R o P j w v S X R l b U x v Y 2 F 0 a W 9 u P j x T d G F i b G V F b n R y a W V z I C 8 + P C 9 J d G V t P j x J d G V t P j x J d G V t T G 9 j Y X R p b 2 4 + P E l 0 Z W 1 U e X B l P k Z v c m 1 1 b G E 8 L 0 l 0 Z W 1 U e X B l P j x J d G V t U G F 0 a D 5 T Z W N 0 a W 9 u M S 9 E S V M l M j B w Z X I l M j B j Y X B p d G E l M j A t J T I w b G 9 3 Z X I l M j B p b m N v b W U l M j B v b m x 5 L 1 J l b m F t Z W Q l M j B D b 2 x 1 b W 5 z P C 9 J d G V t U G F 0 a D 4 8 L 0 l 0 Z W 1 M b 2 N h d G l v b j 4 8 U 3 R h Y m x l R W 5 0 c m l l c y A v P j w v S X R l b T 4 8 S X R l b T 4 8 S X R l b U x v Y 2 F 0 a W 9 u P j x J d G V t V H l w Z T 5 G b 3 J t d W x h P C 9 J d G V t V H l w Z T 4 8 S X R l b V B h d G g + U 2 V j d G l v b j E v U m V 2 Z W 5 1 Z S U y M H B l c i U y M G N h c C U y M C 0 l M j B s b 3 c l M j B p b m N v b W U 8 L 0 l 0 Z W 1 Q Y X R o P j w v S X R l b U x v Y 2 F 0 a W 9 u P j x T d G F i b G V F b n R y a W V z P j x F b n R y e S B U e X B l P S J J c 1 B y a X Z h d G U i I F Z h b H V l P S J s M C I g L z 4 8 R W 5 0 c n k g V H l w Z T 0 i U X V l c n l J R C I g V m F s d W U 9 I n M z O T c y M W M 0 Z i 0 5 N 2 V j L T Q 2 Z W M t O D U 4 N C 0 3 O D c 2 N D I x Y z Z m Z T U i I C 8 + P E V u d H J 5 I F R 5 c G U 9 I k Z p b G x F b m F i b G V k I i B W Y W x 1 Z T 0 i b D A i I C 8 + P E V u d H J 5 I F R 5 c G U 9 I k J 1 Z m Z l c k 5 l e H R S Z W Z y Z X N o I i B W Y W x 1 Z T 0 i b D E i I C 8 + P E V u d H J 5 I F R 5 c G U 9 I l J l c 3 V s d F R 5 c G U i I F Z h b H V l P S J z V G F i b G U i I C 8 + P E V u d H J 5 I F R 5 c G U 9 I k 5 h b W V V c G R h d G V k Q W Z 0 Z X J G a W x s I i B W Y W x 1 Z T 0 i b D E i I C 8 + P E V u d H J 5 I F R 5 c G U 9 I k 5 h d m l n Y X R p b 2 5 T d G V w T m F t Z S I g V m F s d W U 9 I n N O Y X Z p Z 2 F 0 a W 9 u I i A v P j x F b n R y e S B U e X B l P S J G a W x s Z W R D b 2 1 w b G V 0 Z V J l c 3 V s d F R v V 2 9 y a 3 N o Z W V 0 I i B W Y W x 1 Z T 0 i b D A i I C 8 + P E V u d H J 5 I F R 5 c G U 9 I k Z p b G x U b 0 R h d G F N b 2 R l b E V u Y W J s Z W Q i I F Z h b H V l P S J s M C I g L z 4 8 R W 5 0 c n k g V H l w Z T 0 i R m l s b E 9 i a m V j d F R 5 c G U i I F Z h b H V l P S J z Q 2 9 u b m V j d G l v b k 9 u b H k i I C 8 + P E V u d H J 5 I F R 5 c G U 9 I k Z p b G x F c n J v c k N v Z G U i I F Z h b H V l P S J z V W 5 r b m 9 3 b i I g L z 4 8 R W 5 0 c n k g V H l w Z T 0 i Q W R k Z W R U b 0 R h d G F N b 2 R l b C I g V m F s d W U 9 I m w w I i A v P j x F b n R y e S B U e X B l P S J G a W x s T G F z d F V w Z G F 0 Z W Q i I F Z h b H V l P S J k M j A y N S 0 x M i 0 x N l Q x M D o 0 O D o 1 N S 4 z M z U 2 M T g 1 W i I g L z 4 8 R W 5 0 c n k g V H l w Z T 0 i R m l s b E N v b H V t b l R 5 c G V z I i B W Y W x 1 Z T 0 i c 0 J n W U E i I C 8 + P E V u d H J 5 I F R 5 c G U 9 I k Z p b G x D b 2 x 1 b W 5 O Y W 1 l c y I g V m F s d W U 9 I n N b J n F 1 b 3 Q 7 Q 2 9 1 b n R y e S Z x d W 9 0 O y w m c X V v d D t Z Z W F y J n F 1 b 3 Q 7 L C Z x d W 9 0 O 1 B l c i B j Y X A g b G 9 3 J n F 1 b 3 Q 7 X S I g L z 4 8 R W 5 0 c n k g V H l w Z T 0 i R m l s b F N 0 Y X R 1 c y I g V m F s d W U 9 I n N D b 2 1 w b G V 0 Z S I g L z 4 8 R W 5 0 c n k g V H l w Z T 0 i U m V s Y X R p b 2 5 z a G l w S W 5 m b 0 N v b n R h a W 5 l c i I g V m F s d W U 9 I n N 7 J n F 1 b 3 Q 7 Y 2 9 s d W 1 u Q 2 9 1 b n Q m c X V v d D s 6 M y w m c X V v d D t r Z X l D b 2 x 1 b W 5 O Y W 1 l c y Z x d W 9 0 O z p b X S w m c X V v d D t x d W V y e V J l b G F 0 a W 9 u c 2 h p c H M m c X V v d D s 6 W 1 0 s J n F 1 b 3 Q 7 Y 2 9 s d W 1 u S W R l b n R p d G l l c y Z x d W 9 0 O z p b J n F 1 b 3 Q 7 U 2 V j d G l v b j E v Q 2 x p b W F 0 Z S B k a X Y g c G V y I G N h c C A t I G x v d y B p b m N v b W U v Q X V 0 b 1 J l b W 9 2 Z W R D b 2 x 1 b W 5 z M S 5 7 Q 2 9 1 b n R y e S w w f S Z x d W 9 0 O y w m c X V v d D t T Z W N 0 a W 9 u M S 9 D b G l t Y X R l I G R p d i B w Z X I g Y 2 F w I C 0 g b G 9 3 I G l u Y 2 9 t Z S 9 B d X R v U m V t b 3 Z l Z E N v b H V t b n M x L n t Z Z W F y L D F 9 J n F 1 b 3 Q 7 L C Z x d W 9 0 O 1 N l Y 3 R p b 2 4 x L 0 N s a W 1 h d G U g Z G l 2 I H B l c i B j Y X A g L S B s b 3 c g a W 5 j b 2 1 l L 0 F 1 d G 9 S Z W 1 v d m V k Q 2 9 s d W 1 u c z E u e 1 B l c i B j Y X A g b G 9 3 L D J 9 J n F 1 b 3 Q 7 X S w m c X V v d D t D b 2 x 1 b W 5 D b 3 V u d C Z x d W 9 0 O z o z L C Z x d W 9 0 O 0 t l e U N v b H V t b k 5 h b W V z J n F 1 b 3 Q 7 O l t d L C Z x d W 9 0 O 0 N v b H V t b k l k Z W 5 0 a X R p Z X M m c X V v d D s 6 W y Z x d W 9 0 O 1 N l Y 3 R p b 2 4 x L 0 N s a W 1 h d G U g Z G l 2 I H B l c i B j Y X A g L S B s b 3 c g a W 5 j b 2 1 l L 0 F 1 d G 9 S Z W 1 v d m V k Q 2 9 s d W 1 u c z E u e 0 N v d W 5 0 c n k s M H 0 m c X V v d D s s J n F 1 b 3 Q 7 U 2 V j d G l v b j E v Q 2 x p b W F 0 Z S B k a X Y g c G V y I G N h c C A t I G x v d y B p b m N v b W U v Q X V 0 b 1 J l b W 9 2 Z W R D b 2 x 1 b W 5 z M S 5 7 W W V h c i w x f S Z x d W 9 0 O y w m c X V v d D t T Z W N 0 a W 9 u M S 9 D b G l t Y X R l I G R p d i B w Z X I g Y 2 F w I C 0 g b G 9 3 I G l u Y 2 9 t Z S 9 B d X R v U m V t b 3 Z l Z E N v b H V t b n M x L n t Q Z X I g Y 2 F w I G x v d y w y f S Z x d W 9 0 O 1 0 s J n F 1 b 3 Q 7 U m V s Y X R p b 2 5 z a G l w S W 5 m b y Z x d W 9 0 O z p b X X 0 i I C 8 + P C 9 T d G F i b G V F b n R y a W V z P j w v S X R l b T 4 8 S X R l b T 4 8 S X R l b U x v Y 2 F 0 a W 9 u P j x J d G V t V H l w Z T 5 G b 3 J t d W x h P C 9 J d G V t V H l w Z T 4 8 S X R l b V B h d G g + U 2 V j d G l v b j E v U m V 2 Z W 5 1 Z S U y M H B l c i U y M G N h c C U y M C 0 l M j B s b 3 c l M j B p b m N v b W U v U 2 9 1 c m N l P C 9 J d G V t U G F 0 a D 4 8 L 0 l 0 Z W 1 M b 2 N h d G l v b j 4 8 U 3 R h Y m x l R W 5 0 c m l l c y A v P j w v S X R l b T 4 8 S X R l b T 4 8 S X R l b U x v Y 2 F 0 a W 9 u P j x J d G V t V H l w Z T 5 G b 3 J t d W x h P C 9 J d G V t V H l w Z T 4 8 S X R l b V B h d G g + U 2 V j d G l v b j E v U m V 2 Z W 5 1 Z S U y M H B l c i U y M G N h c C U y M C 0 l M j B s b 3 c l M j B p b m N v b W U v Q 2 h h b m d l Z C U y M F R 5 c G U 8 L 0 l 0 Z W 1 Q Y X R o P j w v S X R l b U x v Y 2 F 0 a W 9 u P j x T d G F i b G V F b n R y a W V z I C 8 + P C 9 J d G V t P j x J d G V t P j x J d G V t T G 9 j Y X R p b 2 4 + P E l 0 Z W 1 U e X B l P k Z v c m 1 1 b G E 8 L 0 l 0 Z W 1 U e X B l P j x J d G V t U G F 0 a D 5 T Z W N 0 a W 9 u M S 9 S Z X Z l b n V l J T I w c G V y J T I w Y 2 F w J T I w L S U y M G x v d y U y M G l u Y 2 9 t Z S 9 V b n B p d m 9 0 Z W Q l M j B D b 2 x 1 b W 5 z P C 9 J d G V t U G F 0 a D 4 8 L 0 l 0 Z W 1 M b 2 N h d G l v b j 4 8 U 3 R h Y m x l R W 5 0 c m l l c y A v P j w v S X R l b T 4 8 S X R l b T 4 8 S X R l b U x v Y 2 F 0 a W 9 u P j x J d G V t V H l w Z T 5 G b 3 J t d W x h P C 9 J d G V t V H l w Z T 4 8 S X R l b V B h d G g + U 2 V j d G l v b j E v U m V 2 Z W 5 1 Z S U y M H B l c i U y M G N h c C U y M C 0 l M j B s b 3 c l M j B p b m N v b W U v U m V u Y W 1 l Z C U y M E N v b H V t b n M 8 L 0 l 0 Z W 1 Q Y X R o P j w v S X R l b U x v Y 2 F 0 a W 9 u P j x T d G F i b G V F b n R y a W V z I C 8 + P C 9 J d G V t P j x J d G V t P j x J d G V t T G 9 j Y X R p b 2 4 + P E l 0 Z W 1 U e X B l P k Z v c m 1 1 b G E 8 L 0 l 0 Z W 1 U e X B l P j x J d G V t U G F 0 a D 5 T Z W N 0 a W 9 u M S 9 S Z X Z l b n V l J T I w c G V y J T I w Y 2 F w J T I w L S U y M H B v d m V y d H k 8 L 0 l 0 Z W 1 Q Y X R o P j w v S X R l b U x v Y 2 F 0 a W 9 u P j x T d G F i b G V F b n R y a W V z P j x F b n R y e S B U e X B l P S J J c 1 B y a X Z h d G U i I F Z h b H V l P S J s M C I g L z 4 8 R W 5 0 c n k g V H l w Z T 0 i U X V l c n l J R C I g V m F s d W U 9 I n N l Z D F m M D B k Y y 1 l Y z c w L T Q 0 O T c t Y m Y x O S 1 k M D A x Z G E z O D Y y M z g i I C 8 + P E V u d H J 5 I F R 5 c G U 9 I k Z p b G x F b m F i b G V k I i B W Y W x 1 Z T 0 i b D A i I C 8 + P E V u d H J 5 I F R 5 c G U 9 I k J 1 Z m Z l c k 5 l e H R S Z W Z y Z X N o I i B W Y W x 1 Z T 0 i b D E i I C 8 + P E V u d H J 5 I F R 5 c G U 9 I l J l c 3 V s d F R 5 c G U i I F Z h b H V l P S J z V G F i b G U i I C 8 + P E V u d H J 5 I F R 5 c G U 9 I k 5 h b W V V c G R h d G V k Q W Z 0 Z X J G a W x s I i B W Y W x 1 Z T 0 i b D E i I C 8 + P E V u d H J 5 I F R 5 c G U 9 I k 5 h d m l n Y X R p b 2 5 T d G V w T m F t Z S I g V m F s d W U 9 I n N O Y X Z p Z 2 F 0 a W 9 u I i A v P j x F b n R y e S B U e X B l P S J G a W x s Z W R D b 2 1 w b G V 0 Z V J l c 3 V s d F R v V 2 9 y a 3 N o Z W V 0 I i B W Y W x 1 Z T 0 i b D E i I C 8 + P E V u d H J 5 I F R 5 c G U 9 I k Z p b G x F c n J v c k N v d W 5 0 I i B W Y W x 1 Z T 0 i b D A i I C 8 + P E V u d H J 5 I F R 5 c G U 9 I k Z p b G x F c n J v c k N v Z G U i I F Z h b H V l P S J z V W 5 r b m 9 3 b i I g L z 4 8 R W 5 0 c n k g V H l w Z T 0 i R m l s b F R v R G F 0 Y U 1 v Z G V s R W 5 h Y m x l Z C I g V m F s d W U 9 I m w w I i A v P j x F b n R y e S B U e X B l P S J G a W x s T 2 J q Z W N 0 V H l w Z S I g V m F s d W U 9 I n N D b 2 5 u Z W N 0 a W 9 u T 2 5 s e S I g L z 4 8 R W 5 0 c n k g V H l w Z T 0 i R m l s b E x h c 3 R V c G R h d G V k I i B W Y W x 1 Z T 0 i Z D I w M j U t M T I t M T Z U M T A 6 N D g 6 N T U u M z M 2 N z M 3 O F o i I C 8 + P E V u d H J 5 I F R 5 c G U 9 I k Z p b G x D b 2 x 1 b W 5 U e X B l c y I g V m F s d W U 9 I n N C Z 1 l B I i A v P j x F b n R y e S B U e X B l P S J G a W x s Q 2 9 1 b n Q i I F Z h b H V l P S J s M T g 5 I i A v P j x F b n R y e S B U e X B l P S J G a W x s Q 2 9 s d W 1 u T m F t Z X M i I F Z h b H V l P S J z W y Z x d W 9 0 O 0 N v d W 5 0 c n k m c X V v d D s s J n F 1 b 3 Q 7 W W V h c i Z x d W 9 0 O y w m c X V v d D t B b G w g c m V 2 Z W 5 1 Z X M g c G V y I G N h c C B w b 3 Z l c n R 5 J n F 1 b 3 Q 7 X S I g L z 4 8 R W 5 0 c n k g V H l w Z T 0 i Q W R k Z W R U b 0 R h d G F N b 2 R l b C I g V m F s d W U 9 I m w w I i A v P j x F b n R y e S B U e X B l P S J G a W x s U 3 R h d H V z I i B W Y W x 1 Z T 0 i c 0 N v b X B s Z X R l I i A v P j x F b n R y e S B U e X B l P S J S Z W x h d G l v b n N o a X B J b m Z v Q 2 9 u d G F p b m V y I i B W Y W x 1 Z T 0 i c 3 s m c X V v d D t j b 2 x 1 b W 5 D b 3 V u d C Z x d W 9 0 O z o z L C Z x d W 9 0 O 2 t l e U N v b H V t b k 5 h b W V z J n F 1 b 3 Q 7 O l t d L C Z x d W 9 0 O 3 F 1 Z X J 5 U m V s Y X R p b 2 5 z a G l w c y Z x d W 9 0 O z p b X S w m c X V v d D t j b 2 x 1 b W 5 J Z G V u d G l 0 a W V z J n F 1 b 3 Q 7 O l s m c X V v d D t T Z W N 0 a W 9 u M S 9 w Z X I g Y 2 F w I H B v d m V y d H k v Q X V 0 b 1 J l b W 9 2 Z W R D b 2 x 1 b W 5 z M S 5 7 Q 2 9 1 b n R y e S w w f S Z x d W 9 0 O y w m c X V v d D t T Z W N 0 a W 9 u M S 9 w Z X I g Y 2 F w I H B v d m V y d H k v Q X V 0 b 1 J l b W 9 2 Z W R D b 2 x 1 b W 5 z M S 5 7 W W V h c i w x f S Z x d W 9 0 O y w m c X V v d D t T Z W N 0 a W 9 u M S 9 w Z X I g Y 2 F w I H B v d m V y d H k v Q X V 0 b 1 J l b W 9 2 Z W R D b 2 x 1 b W 5 z M S 5 7 Q W x s I H J l d m V u d W V z I H B l c i B j Y X A g c G 9 2 Z X J 0 e S w y f S Z x d W 9 0 O 1 0 s J n F 1 b 3 Q 7 Q 2 9 s d W 1 u Q 2 9 1 b n Q m c X V v d D s 6 M y w m c X V v d D t L Z X l D b 2 x 1 b W 5 O Y W 1 l c y Z x d W 9 0 O z p b X S w m c X V v d D t D b 2 x 1 b W 5 J Z G V u d G l 0 a W V z J n F 1 b 3 Q 7 O l s m c X V v d D t T Z W N 0 a W 9 u M S 9 w Z X I g Y 2 F w I H B v d m V y d H k v Q X V 0 b 1 J l b W 9 2 Z W R D b 2 x 1 b W 5 z M S 5 7 Q 2 9 1 b n R y e S w w f S Z x d W 9 0 O y w m c X V v d D t T Z W N 0 a W 9 u M S 9 w Z X I g Y 2 F w I H B v d m V y d H k v Q X V 0 b 1 J l b W 9 2 Z W R D b 2 x 1 b W 5 z M S 5 7 W W V h c i w x f S Z x d W 9 0 O y w m c X V v d D t T Z W N 0 a W 9 u M S 9 w Z X I g Y 2 F w I H B v d m V y d H k v Q X V 0 b 1 J l b W 9 2 Z W R D b 2 x 1 b W 5 z M S 5 7 Q W x s I H J l d m V u d W V z I H B l c i B j Y X A g c G 9 2 Z X J 0 e S w y f S Z x d W 9 0 O 1 0 s J n F 1 b 3 Q 7 U m V s Y X R p b 2 5 z a G l w S W 5 m b y Z x d W 9 0 O z p b X X 0 i I C 8 + P C 9 T d G F i b G V F b n R y a W V z P j w v S X R l b T 4 8 S X R l b T 4 8 S X R l b U x v Y 2 F 0 a W 9 u P j x J d G V t V H l w Z T 5 G b 3 J t d W x h P C 9 J d G V t V H l w Z T 4 8 S X R l b V B h d G g + U 2 V j d G l v b j E v U m V 2 Z W 5 1 Z S U y M H B l c i U y M G N h c C U y M C 0 l M j B w b 3 Z l c n R 5 L 1 N v d X J j Z T w v S X R l b V B h d G g + P C 9 J d G V t T G 9 j Y X R p b 2 4 + P F N 0 Y W J s Z U V u d H J p Z X M g L z 4 8 L 0 l 0 Z W 0 + P E l 0 Z W 0 + P E l 0 Z W 1 M b 2 N h d G l v b j 4 8 S X R l b V R 5 c G U + R m 9 y b X V s Y T w v S X R l b V R 5 c G U + P E l 0 Z W 1 Q Y X R o P l N l Y 3 R p b 2 4 x L 1 J l d m V u d W U l M j B w Z X I l M j B j Y X A l M j A t J T I w c G 9 2 Z X J 0 e S 9 D a G F u Z 2 V k J T I w V H l w Z T w v S X R l b V B h d G g + P C 9 J d G V t T G 9 j Y X R p b 2 4 + P F N 0 Y W J s Z U V u d H J p Z X M g L z 4 8 L 0 l 0 Z W 0 + P E l 0 Z W 0 + P E l 0 Z W 1 M b 2 N h d G l v b j 4 8 S X R l b V R 5 c G U + R m 9 y b X V s Y T w v S X R l b V R 5 c G U + P E l 0 Z W 1 Q Y X R o P l N l Y 3 R p b 2 4 x L 1 J l d m V u d W U l M j B w Z X I l M j B j Y X A l M j A t J T I w c G 9 2 Z X J 0 e S 9 V b n B p d m 9 0 Z W Q l M j B D b 2 x 1 b W 5 z P C 9 J d G V t U G F 0 a D 4 8 L 0 l 0 Z W 1 M b 2 N h d G l v b j 4 8 U 3 R h Y m x l R W 5 0 c m l l c y A v P j w v S X R l b T 4 8 S X R l b T 4 8 S X R l b U x v Y 2 F 0 a W 9 u P j x J d G V t V H l w Z T 5 G b 3 J t d W x h P C 9 J d G V t V H l w Z T 4 8 S X R l b V B h d G g + U 2 V j d G l v b j E v U m V 2 Z W 5 1 Z S U y M H B l c i U y M G N h c C U y M C 0 l M j B w b 3 Z l c n R 5 L 1 J l b m F t Z W Q l M j B D b 2 x 1 b W 5 z P C 9 J d G V t U G F 0 a D 4 8 L 0 l 0 Z W 1 M b 2 N h d G l v b j 4 8 U 3 R h Y m x l R W 5 0 c m l l c y A v P j w v S X R l b T 4 8 S X R l b T 4 8 S X R l b U x v Y 2 F 0 a W 9 u P j x J d G V t V H l w Z T 5 G b 3 J t d W x h P C 9 J d G V t V H l w Z T 4 8 S X R l b V B h d G g + U 2 V j d G l v b j E v T W F 4 J T I w R E l T J T I w d G 8 l M j B w b 3 A l M j B h d C U y M H J p c 2 s l M j B v Z i U y M H B v d m V y d H k 8 L 0 l 0 Z W 1 Q Y X R o P j w v S X R l b U x v Y 2 F 0 a W 9 u P j x T d G F i b G V F b n R y a W V z P j x F b n R y e S B U e X B l P S J J c 1 B y a X Z h d G U i I F Z h b H V l P S J s M C I g L z 4 8 R W 5 0 c n k g V H l w Z T 0 i U X V l c n l J R C I g V m F s d W U 9 I n M w O W Z l Z D c x Z C 1 h O T V i L T R h N z Q t O W M 1 M i 0 x Y T I 1 O D V l N T R h O T Y i I C 8 + P E V u d H J 5 I F R 5 c G U 9 I k Z p b G x F b m F i b G V k I i B W Y W x 1 Z T 0 i b D A i I C 8 + P E V u d H J 5 I F R 5 c G U 9 I k 5 h d m l n Y X R p b 2 5 T d G V w T m F t Z S I g V m F s d W U 9 I n N O Y X Z p Z 2 F 0 a W 9 u I i A v P j x F b n R y e S B U e X B l P S J O Y W 1 l V X B k Y X R l Z E F m d G V y R m l s b C I g V m F s d W U 9 I m w x I i A v P j x F b n R y e S B U e X B l P S J S Z X N 1 b H R U e X B l I i B W Y W x 1 Z T 0 i c 1 R h Y m x l I i A v P j x F b n R y e S B U e X B l P S J C d W Z m Z X J O Z X h 0 U m V m c m V z a C I g V m F s d W U 9 I m w x I i A v P j x F b n R y e S B U e X B l P S J G a W x s Z W R D b 2 1 w b G V 0 Z V J l c 3 V s d F R v V 2 9 y a 3 N o Z W V 0 I i B W Y W x 1 Z T 0 i b D E i I C 8 + P E V u d H J 5 I F R 5 c G U 9 I k Z p b G x F c n J v c k N v d W 5 0 I i B W Y W x 1 Z T 0 i b D A i I C 8 + P E V u d H J 5 I F R 5 c G U 9 I k Z p b G x F c n J v c k N v Z G U i I F Z h b H V l P S J z V W 5 r b m 9 3 b i I g L z 4 8 R W 5 0 c n k g V H l w Z T 0 i R m l s b F R v R G F 0 Y U 1 v Z G V s R W 5 h Y m x l Z C I g V m F s d W U 9 I m w w I i A v P j x F b n R y e S B U e X B l P S J G a W x s T 2 J q Z W N 0 V H l w Z S I g V m F s d W U 9 I n N D b 2 5 u Z W N 0 a W 9 u T 2 5 s e S I g L z 4 8 R W 5 0 c n k g V H l w Z T 0 i R m l s b E x h c 3 R V c G R h d G V k I i B W Y W x 1 Z T 0 i Z D I w M j U t M T I t M T Z U M T A 6 N D g 6 N T U u M z I y M z U y O V o i I C 8 + P E V u d H J 5 I F R 5 c G U 9 I k Z p b G x D b 2 x 1 b W 5 U e X B l c y I g V m F s d W U 9 I n N C Z 1 l G I i A v P j x F b n R y e S B U e X B l P S J G a W x s Q 2 9 1 b n Q i I F Z h b H V l P S J s M j Q z I i A v P j x F b n R y e S B U e X B l P S J G a W x s Q 2 9 s d W 1 u T m F t Z X M i I F Z h b H V l P S J z W y Z x d W 9 0 O 0 N v d W 5 0 c n k m c X V v d D s s J n F 1 b 3 Q 7 W W V h c i Z x d W 9 0 O y w m c X V v d D t N Y X g g c m V k a X N 0 c m l i d X R p b 2 4 g d G 8 g c G 9 w I G F 0 I H J p c 2 s g b 2 Y g c G 9 2 Z X J 0 e S Z x d W 9 0 O 1 0 i I C 8 + P E V u d H J 5 I F R 5 c G U 9 I k F k Z G V k V G 9 E Y X R h T W 9 k Z W w i I F Z h b H V l P S J s M C I g L z 4 8 R W 5 0 c n k g V H l w Z T 0 i R m l s b F N 0 Y X R 1 c y I g V m F s d W U 9 I n N D b 2 1 w b G V 0 Z S I g L z 4 8 R W 5 0 c n k g V H l w Z T 0 i U m V s Y X R p b 2 5 z a G l w S W 5 m b 0 N v b n R h a W 5 l c i I g V m F s d W U 9 I n N 7 J n F 1 b 3 Q 7 Y 2 9 s d W 1 u Q 2 9 1 b n Q m c X V v d D s 6 M y w m c X V v d D t r Z X l D b 2 x 1 b W 5 O Y W 1 l c y Z x d W 9 0 O z p b X S w m c X V v d D t x d W V y e V J l b G F 0 a W 9 u c 2 h p c H M m c X V v d D s 6 W 1 0 s J n F 1 b 3 Q 7 Y 2 9 s d W 1 u S W R l b n R p d G l l c y Z x d W 9 0 O z p b J n F 1 b 3 Q 7 U 2 V j d G l v b j E v T W F 4 I H J l Z G l z d H J p Y n V 0 a W 9 u I H R v I H B v c C B h d C B y a X N r I G 9 m I H B v d m V y d H k v Q X V 0 b 1 J l b W 9 2 Z W R D b 2 x 1 b W 5 z M S 5 7 Q 2 9 1 b n R y e S w w f S Z x d W 9 0 O y w m c X V v d D t T Z W N 0 a W 9 u M S 9 N Y X g g c m V k a X N 0 c m l i d X R p b 2 4 g d G 8 g c G 9 w I G F 0 I H J p c 2 s g b 2 Y g c G 9 2 Z X J 0 e S 9 B d X R v U m V t b 3 Z l Z E N v b H V t b n M x L n t Z Z W F y L D F 9 J n F 1 b 3 Q 7 L C Z x d W 9 0 O 1 N l Y 3 R p b 2 4 x L 0 1 h e C B y Z W R p c 3 R y a W J 1 d G l v b i B 0 b y B w b 3 A g Y X Q g c m l z a y B v Z i B w b 3 Z l c n R 5 L 0 F 1 d G 9 S Z W 1 v d m V k Q 2 9 s d W 1 u c z E u e 0 1 h e C B y Z W R p c 3 R y a W J 1 d G l v b i B 0 b y B w b 3 A g Y X Q g c m l z a y B v Z i B w b 3 Z l c n R 5 L D J 9 J n F 1 b 3 Q 7 X S w m c X V v d D t D b 2 x 1 b W 5 D b 3 V u d C Z x d W 9 0 O z o z L C Z x d W 9 0 O 0 t l e U N v b H V t b k 5 h b W V z J n F 1 b 3 Q 7 O l t d L C Z x d W 9 0 O 0 N v b H V t b k l k Z W 5 0 a X R p Z X M m c X V v d D s 6 W y Z x d W 9 0 O 1 N l Y 3 R p b 2 4 x L 0 1 h e C B y Z W R p c 3 R y a W J 1 d G l v b i B 0 b y B w b 3 A g Y X Q g c m l z a y B v Z i B w b 3 Z l c n R 5 L 0 F 1 d G 9 S Z W 1 v d m V k Q 2 9 s d W 1 u c z E u e 0 N v d W 5 0 c n k s M H 0 m c X V v d D s s J n F 1 b 3 Q 7 U 2 V j d G l v b j E v T W F 4 I H J l Z G l z d H J p Y n V 0 a W 9 u I H R v I H B v c C B h d C B y a X N r I G 9 m I H B v d m V y d H k v Q X V 0 b 1 J l b W 9 2 Z W R D b 2 x 1 b W 5 z M S 5 7 W W V h c i w x f S Z x d W 9 0 O y w m c X V v d D t T Z W N 0 a W 9 u M S 9 N Y X g g c m V k a X N 0 c m l i d X R p b 2 4 g d G 8 g c G 9 w I G F 0 I H J p c 2 s g b 2 Y g c G 9 2 Z X J 0 e S 9 B d X R v U m V t b 3 Z l Z E N v b H V t b n M x L n t N Y X g g c m V k a X N 0 c m l i d X R p b 2 4 g d G 8 g c G 9 w I G F 0 I H J p c 2 s g b 2 Y g c G 9 2 Z X J 0 e S w y f S Z x d W 9 0 O 1 0 s J n F 1 b 3 Q 7 U m V s Y X R p b 2 5 z a G l w S W 5 m b y Z x d W 9 0 O z p b X X 0 i I C 8 + P C 9 T d G F i b G V F b n R y a W V z P j w v S X R l b T 4 8 S X R l b T 4 8 S X R l b U x v Y 2 F 0 a W 9 u P j x J d G V t V H l w Z T 5 G b 3 J t d W x h P C 9 J d G V t V H l w Z T 4 8 S X R l b V B h d G g + U 2 V j d G l v b j E v T W F 4 J T I w R E l T J T I w d G 8 l M j B w b 3 A l M j B h d C U y M H J p c 2 s l M j B v Z i U y M H B v d m V y d H k v U 2 9 1 c m N l P C 9 J d G V t U G F 0 a D 4 8 L 0 l 0 Z W 1 M b 2 N h d G l v b j 4 8 U 3 R h Y m x l R W 5 0 c m l l c y A v P j w v S X R l b T 4 8 S X R l b T 4 8 S X R l b U x v Y 2 F 0 a W 9 u P j x J d G V t V H l w Z T 5 G b 3 J t d W x h P C 9 J d G V t V H l w Z T 4 8 S X R l b V B h d G g + U 2 V j d G l v b j E v T W F 4 J T I w R E l T J T I w d G 8 l M j B w b 3 A l M j B h d C U y M H J p c 2 s l M j B v Z i U y M H B v d m V y d H k v Q 2 h h b m d l Z C U y M F R 5 c G U 8 L 0 l 0 Z W 1 Q Y X R o P j w v S X R l b U x v Y 2 F 0 a W 9 u P j x T d G F i b G V F b n R y a W V z I C 8 + P C 9 J d G V t P j x J d G V t P j x J d G V t T G 9 j Y X R p b 2 4 + P E l 0 Z W 1 U e X B l P k Z v c m 1 1 b G E 8 L 0 l 0 Z W 1 U e X B l P j x J d G V t U G F 0 a D 5 T Z W N 0 a W 9 u M S 9 N Y X g l M j B E S V M l M j B 0 b y U y M H B v c C U y M G F 0 J T I w c m l z a y U y M G 9 m J T I w c G 9 2 Z X J 0 e S 9 V b n B p d m 9 0 Z W Q l M j B D b 2 x 1 b W 5 z P C 9 J d G V t U G F 0 a D 4 8 L 0 l 0 Z W 1 M b 2 N h d G l v b j 4 8 U 3 R h Y m x l R W 5 0 c m l l c y A v P j w v S X R l b T 4 8 S X R l b T 4 8 S X R l b U x v Y 2 F 0 a W 9 u P j x J d G V t V H l w Z T 5 G b 3 J t d W x h P C 9 J d G V t V H l w Z T 4 8 S X R l b V B h d G g + U 2 V j d G l v b j E v T W F 4 J T I w R E l T J T I w d G 8 l M j B w b 3 A l M j B h d C U y M H J p c 2 s l M j B v Z i U y M H B v d m V y d H k v U m V u Y W 1 l Z C U y M E N v b H V t b n M 8 L 0 l 0 Z W 1 Q Y X R o P j w v S X R l b U x v Y 2 F 0 a W 9 u P j x T d G F i b G V F b n R y a W V z I C 8 + P C 9 J d G V t P j x J d G V t P j x J d G V t T G 9 j Y X R p b 2 4 + P E l 0 Z W 1 U e X B l P k Z v c m 1 1 b G E 8 L 0 l 0 Z W 1 U e X B l P j x J d G V t U G F 0 a D 5 T Z W N 0 a W 9 u M S 9 N Y X h p b X V t J T I w R E l T J T I w a W 4 l M j B T Q 0 Y l M j B w Z X I l M j B j Y X B p d G E 8 L 0 l 0 Z W 1 Q Y X R o P j w v S X R l b U x v Y 2 F 0 a W 9 u P j x T d G F i b G V F b n R y a W V z P j x F b n R y e S B U e X B l P S J J c 1 B y a X Z h d G U i I F Z h b H V l P S J s M C I g L z 4 8 R W 5 0 c n k g V H l w Z T 0 i U X V l c n l J R C I g V m F s d W U 9 I n M 4 Z T M 5 M D I 2 Y i 0 w N T N l L T Q 4 N W I t O G Q 3 M C 1 k Z T d i Z j k w Y z R i M D U i I C 8 + P E V u d H J 5 I F R 5 c G U 9 I k Z p b G x F b m F i b G V k I i B W Y W x 1 Z T 0 i b D A i I C 8 + P E V u d H J 5 I F R 5 c G U 9 I k J 1 Z m Z l c k 5 l e H R S Z W Z y Z X N o I i B W Y W x 1 Z T 0 i b D E i I C 8 + P E V u d H J 5 I F R 5 c G U 9 I l J l c 3 V s d F R 5 c G U i I F Z h b H V l P S J z V G F i b G U i I C 8 + P E V u d H J 5 I F R 5 c G U 9 I k 5 h b W V V c G R h d G V k Q W Z 0 Z X J G a W x s I i B W Y W x 1 Z T 0 i b D E i I C 8 + P E V u d H J 5 I F R 5 c G U 9 I k 5 h d m l n Y X R p b 2 5 T d G V w T m F t Z S I g V m F s d W U 9 I n N O Y X Z p Z 2 F 0 a W 9 u I i A v P j x F b n R y e S B U e X B l P S J G a W x s Z W R D b 2 1 w b G V 0 Z V J l c 3 V s d F R v V 2 9 y a 3 N o Z W V 0 I i B W Y W x 1 Z T 0 i b D E i I C 8 + P E V u d H J 5 I F R 5 c G U 9 I k Z p b G x F c n J v c k N v d W 5 0 I i B W Y W x 1 Z T 0 i b D A i I C 8 + P E V u d H J 5 I F R 5 c G U 9 I k Z p b G x F c n J v c k N v Z G U i I F Z h b H V l P S J z V W 5 r b m 9 3 b i I g L z 4 8 R W 5 0 c n k g V H l w Z T 0 i R m l s b F R v R G F 0 Y U 1 v Z G V s R W 5 h Y m x l Z C I g V m F s d W U 9 I m w w I i A v P j x F b n R y e S B U e X B l P S J G a W x s T 2 J q Z W N 0 V H l w Z S I g V m F s d W U 9 I n N D b 2 5 u Z W N 0 a W 9 u T 2 5 s e S I g L z 4 8 R W 5 0 c n k g V H l w Z T 0 i R m l s b E x h c 3 R V c G R h d G V k I i B W Y W x 1 Z T 0 i Z D I w M j U t M T I t M T Z U M T A 6 N D g 6 N T U u M z E 4 M D E 3 M 1 o i I C 8 + P E V u d H J 5 I F R 5 c G U 9 I k Z p b G x D b 2 x 1 b W 5 U e X B l c y I g V m F s d W U 9 I n N C Z 1 l G I i A v P j x F b n R y e S B U e X B l P S J G a W x s Q 2 9 1 b n Q i I F Z h b H V l P S J s M j U y I i A v P j x F b n R y e S B U e X B l P S J G a W x s Q 2 9 s d W 1 u T m F t Z X M i I F Z h b H V l P S J z W y Z x d W 9 0 O 0 N v d W 5 0 c n k m c X V v d D s s J n F 1 b 3 Q 7 W W V h c i Z x d W 9 0 O y w m c X V v d D t N Y X h p b X V t I G R p c m V j d C B y Z W R p c 3 R y a W J 1 d G l v b i B p b i B T Q 0 Y g c G V y I G N h c G l 0 Y S Z x d W 9 0 O 1 0 i I C 8 + P E V u d H J 5 I F R 5 c G U 9 I k F k Z G V k V G 9 E Y X R h T W 9 k Z W w i I F Z h b H V l P S J s M C I g L z 4 8 R W 5 0 c n k g V H l w Z T 0 i R m l s b F N 0 Y X R 1 c y I g V m F s d W U 9 I n N D b 2 1 w b G V 0 Z S I g L z 4 8 R W 5 0 c n k g V H l w Z T 0 i U m V s Y X R p b 2 5 z a G l w S W 5 m b 0 N v b n R h a W 5 l c i I g V m F s d W U 9 I n N 7 J n F 1 b 3 Q 7 Y 2 9 s d W 1 u Q 2 9 1 b n Q m c X V v d D s 6 M y w m c X V v d D t r Z X l D b 2 x 1 b W 5 O Y W 1 l c y Z x d W 9 0 O z p b X S w m c X V v d D t x d W V y e V J l b G F 0 a W 9 u c 2 h p c H M m c X V v d D s 6 W 1 0 s J n F 1 b 3 Q 7 Y 2 9 s d W 1 u S W R l b n R p d G l l c y Z x d W 9 0 O z p b J n F 1 b 3 Q 7 U 2 V j d G l v b j E v T W F 4 a W 1 1 b S B k a X J l Y 3 Q g c m V k a X N 0 c m l i d X R p b 2 4 g a W 4 g U 0 N G I H B l c i B j Y X B p d G E v Q X V 0 b 1 J l b W 9 2 Z W R D b 2 x 1 b W 5 z M S 5 7 Q 2 9 1 b n R y e S w w f S Z x d W 9 0 O y w m c X V v d D t T Z W N 0 a W 9 u M S 9 N Y X h p b X V t I G R p c m V j d C B y Z W R p c 3 R y a W J 1 d G l v b i B p b i B T Q 0 Y g c G V y I G N h c G l 0 Y S 9 B d X R v U m V t b 3 Z l Z E N v b H V t b n M x L n t Z Z W F y L D F 9 J n F 1 b 3 Q 7 L C Z x d W 9 0 O 1 N l Y 3 R p b 2 4 x L 0 1 h e G l t d W 0 g Z G l y Z W N 0 I H J l Z G l z d H J p Y n V 0 a W 9 u I G l u I F N D R i B w Z X I g Y 2 F w a X R h L 0 F 1 d G 9 S Z W 1 v d m V k Q 2 9 s d W 1 u c z E u e 0 1 h e G l t d W 0 g Z G l y Z W N 0 I H J l Z G l z d H J p Y n V 0 a W 9 u I G l u I F N D R i B w Z X I g Y 2 F w a X R h L D J 9 J n F 1 b 3 Q 7 X S w m c X V v d D t D b 2 x 1 b W 5 D b 3 V u d C Z x d W 9 0 O z o z L C Z x d W 9 0 O 0 t l e U N v b H V t b k 5 h b W V z J n F 1 b 3 Q 7 O l t d L C Z x d W 9 0 O 0 N v b H V t b k l k Z W 5 0 a X R p Z X M m c X V v d D s 6 W y Z x d W 9 0 O 1 N l Y 3 R p b 2 4 x L 0 1 h e G l t d W 0 g Z G l y Z W N 0 I H J l Z G l z d H J p Y n V 0 a W 9 u I G l u I F N D R i B w Z X I g Y 2 F w a X R h L 0 F 1 d G 9 S Z W 1 v d m V k Q 2 9 s d W 1 u c z E u e 0 N v d W 5 0 c n k s M H 0 m c X V v d D s s J n F 1 b 3 Q 7 U 2 V j d G l v b j E v T W F 4 a W 1 1 b S B k a X J l Y 3 Q g c m V k a X N 0 c m l i d X R p b 2 4 g a W 4 g U 0 N G I H B l c i B j Y X B p d G E v Q X V 0 b 1 J l b W 9 2 Z W R D b 2 x 1 b W 5 z M S 5 7 W W V h c i w x f S Z x d W 9 0 O y w m c X V v d D t T Z W N 0 a W 9 u M S 9 N Y X h p b X V t I G R p c m V j d C B y Z W R p c 3 R y a W J 1 d G l v b i B p b i B T Q 0 Y g c G V y I G N h c G l 0 Y S 9 B d X R v U m V t b 3 Z l Z E N v b H V t b n M x L n t N Y X h p b X V t I G R p c m V j d C B y Z W R p c 3 R y a W J 1 d G l v b i B p b i B T Q 0 Y g c G V y I G N h c G l 0 Y S w y f S Z x d W 9 0 O 1 0 s J n F 1 b 3 Q 7 U m V s Y X R p b 2 5 z a G l w S W 5 m b y Z x d W 9 0 O z p b X X 0 i I C 8 + P C 9 T d G F i b G V F b n R y a W V z P j w v S X R l b T 4 8 S X R l b T 4 8 S X R l b U x v Y 2 F 0 a W 9 u P j x J d G V t V H l w Z T 5 G b 3 J t d W x h P C 9 J d G V t V H l w Z T 4 8 S X R l b V B h d G g + U 2 V j d G l v b j E v T W F 4 a W 1 1 b S U y M E R J U y U y M G l u J T I w U 0 N G J T I w c G V y J T I w Y 2 F w a X R h L 1 N v d X J j Z T w v S X R l b V B h d G g + P C 9 J d G V t T G 9 j Y X R p b 2 4 + P F N 0 Y W J s Z U V u d H J p Z X M g L z 4 8 L 0 l 0 Z W 0 + P E l 0 Z W 0 + P E l 0 Z W 1 M b 2 N h d G l v b j 4 8 S X R l b V R 5 c G U + R m 9 y b X V s Y T w v S X R l b V R 5 c G U + P E l 0 Z W 1 Q Y X R o P l N l Y 3 R p b 2 4 x L 0 1 h e G l t d W 0 l M j B E S V M l M j B p b i U y M F N D R i U y M H B l c i U y M G N h c G l 0 Y S 9 D a G F u Z 2 V k J T I w V H l w Z T w v S X R l b V B h d G g + P C 9 J d G V t T G 9 j Y X R p b 2 4 + P F N 0 Y W J s Z U V u d H J p Z X M g L z 4 8 L 0 l 0 Z W 0 + P E l 0 Z W 0 + P E l 0 Z W 1 M b 2 N h d G l v b j 4 8 S X R l b V R 5 c G U + R m 9 y b X V s Y T w v S X R l b V R 5 c G U + P E l 0 Z W 1 Q Y X R o P l N l Y 3 R p b 2 4 x L 0 1 h e G l t d W 0 l M j B E S V M l M j B p b i U y M F N D R i U y M H B l c i U y M G N h c G l 0 Y S 9 V b n B p d m 9 0 Z W Q l M j B D b 2 x 1 b W 5 z P C 9 J d G V t U G F 0 a D 4 8 L 0 l 0 Z W 1 M b 2 N h d G l v b j 4 8 U 3 R h Y m x l R W 5 0 c m l l c y A v P j w v S X R l b T 4 8 S X R l b T 4 8 S X R l b U x v Y 2 F 0 a W 9 u P j x J d G V t V H l w Z T 5 G b 3 J t d W x h P C 9 J d G V t V H l w Z T 4 8 S X R l b V B h d G g + U 2 V j d G l v b j E v T W F 4 a W 1 1 b S U y M E R J U y U y M G l u J T I w U 0 N G J T I w c G V y J T I w Y 2 F w a X R h L 1 J l b m F t Z W Q l M j B D b 2 x 1 b W 5 z P C 9 J d G V t U G F 0 a D 4 8 L 0 l 0 Z W 1 M b 2 N h d G l v b j 4 8 U 3 R h Y m x l R W 5 0 c m l l c y A v P j w v S X R l b T 4 8 S X R l b T 4 8 S X R l b U x v Y 2 F 0 a W 9 u P j x J d G V t V H l w Z T 5 G b 3 J t d W x h P C 9 J d G V t V H l w Z T 4 8 S X R l b V B h d G g + U 2 V j d G l v b j E v U m V z d E V U U z I l M k J G T C U y Q k 9 3 b j w v S X R l b V B h d G g + P C 9 J d G V t T G 9 j Y X R p b 2 4 + P F N 0 Y W J s Z U V u d H J p Z X M + P E V u d H J 5 I F R 5 c G U 9 I k l z U H J p d m F 0 Z S I g V m F s d W U 9 I m w w I i A v P j x F b n R y e S B U e X B l P S J R d W V y e U l E I i B W Y W x 1 Z T 0 i c z k 2 N z Y w N D Y 0 L T E y O D g t N G Y w M i 1 h O D c 3 L T k 1 Z W M 2 Y j N l O G V h Y y I g L z 4 8 R W 5 0 c n k g V H l w Z T 0 i R m l s 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R m l s b E V y c m 9 y Q 2 9 1 b n Q i I F Z h b H V l P S J s M C I g L z 4 8 R W 5 0 c n k g V H l w Z T 0 i R m l s b E V y c m 9 y Q 2 9 k Z S I g V m F s d W U 9 I n N V b m t u b 3 d u I i A v P j x F b n R y e S B U e X B l P S J G a W x s V G 9 E Y X R h T W 9 k Z W x F b m F i b G V k I i B W Y W x 1 Z T 0 i b D A i I C 8 + P E V u d H J 5 I F R 5 c G U 9 I k Z p b G x P Y m p l Y 3 R U e X B l I i B W Y W x 1 Z T 0 i c 0 N v b m 5 l Y 3 R p b 2 5 P b m x 5 I i A v P j x F b n R y e S B U e X B l P S J G a W x s T G F z d F V w Z G F 0 Z W Q i I F Z h b H V l P S J k M j A y N S 0 x M i 0 x N l Q x M D o 0 O D o 1 N S 4 z N D k 1 M z Q 2 W i I g L z 4 8 R W 5 0 c n k g V H l w Z T 0 i R m l s b E N v b H V t b l R 5 c G V z I i B W Y W x 1 Z T 0 i c 0 J n W U E i I C 8 + P E V u d H J 5 I F R 5 c G U 9 I k Z p b G x D b 3 V u d C I g V m F s d W U 9 I m w x O T Y i I C 8 + P E V u d H J 5 I F R 5 c G U 9 I k Z p b G x D b 2 x 1 b W 5 O Y W 1 l c y I g V m F s d W U 9 I n N b J n F 1 b 3 Q 7 Q 2 9 1 b n R y e S Z x d W 9 0 O y w m c X V v d D t Z Z W F y J n F 1 b 3 Q 7 L C Z x d W 9 0 O 0 V U U z J S Z X N 0 K 0 Z M K 0 9 3 b i Z x d W 9 0 O 1 0 i I C 8 + P E V u d H J 5 I F R 5 c G U 9 I k F k Z G V k V G 9 E Y X R h T W 9 k Z W w i I F Z h b H V l P S J s M C I g L z 4 8 R W 5 0 c n k g V H l w Z T 0 i R m l s b F N 0 Y X R 1 c y I g V m F s d W U 9 I n N D b 2 1 w b G V 0 Z S I g L z 4 8 R W 5 0 c n k g V H l w Z T 0 i U m V s Y X R p b 2 5 z a G l w S W 5 m b 0 N v b n R h a W 5 l c i I g V m F s d W U 9 I n N 7 J n F 1 b 3 Q 7 Y 2 9 s d W 1 u Q 2 9 1 b n Q m c X V v d D s 6 M y w m c X V v d D t r Z X l D b 2 x 1 b W 5 O Y W 1 l c y Z x d W 9 0 O z p b X S w m c X V v d D t x d W V y e V J l b G F 0 a W 9 u c 2 h p c H M m c X V v d D s 6 W 1 0 s J n F 1 b 3 Q 7 Y 2 9 s d W 1 u S W R l b n R p d G l l c y Z x d W 9 0 O z p b J n F 1 b 3 Q 7 U 2 V j d G l v b j E v U m V z d E V U U z I r R k w r T 3 d u L 0 F 1 d G 9 S Z W 1 v d m V k Q 2 9 s d W 1 u c z E u e 0 N v d W 5 0 c n k s M H 0 m c X V v d D s s J n F 1 b 3 Q 7 U 2 V j d G l v b j E v U m V z d E V U U z I r R k w r T 3 d u L 0 F 1 d G 9 S Z W 1 v d m V k Q 2 9 s d W 1 u c z E u e 1 l l Y X I s M X 0 m c X V v d D s s J n F 1 b 3 Q 7 U 2 V j d G l v b j E v U m V z d E V U U z I r R k w r T 3 d u L 0 F 1 d G 9 S Z W 1 v d m V k Q 2 9 s d W 1 u c z E u e 0 V U U z J S Z X N 0 K 0 Z M K 0 9 3 b i w y f S Z x d W 9 0 O 1 0 s J n F 1 b 3 Q 7 Q 2 9 s d W 1 u Q 2 9 1 b n Q m c X V v d D s 6 M y w m c X V v d D t L Z X l D b 2 x 1 b W 5 O Y W 1 l c y Z x d W 9 0 O z p b X S w m c X V v d D t D b 2 x 1 b W 5 J Z G V u d G l 0 a W V z J n F 1 b 3 Q 7 O l s m c X V v d D t T Z W N 0 a W 9 u M S 9 S Z X N 0 R V R T M i t G T C t P d 2 4 v Q X V 0 b 1 J l b W 9 2 Z W R D b 2 x 1 b W 5 z M S 5 7 Q 2 9 1 b n R y e S w w f S Z x d W 9 0 O y w m c X V v d D t T Z W N 0 a W 9 u M S 9 S Z X N 0 R V R T M i t G T C t P d 2 4 v Q X V 0 b 1 J l b W 9 2 Z W R D b 2 x 1 b W 5 z M S 5 7 W W V h c i w x f S Z x d W 9 0 O y w m c X V v d D t T Z W N 0 a W 9 u M S 9 S Z X N 0 R V R T M i t G T C t P d 2 4 v Q X V 0 b 1 J l b W 9 2 Z W R D b 2 x 1 b W 5 z M S 5 7 R V R T M l J l c 3 Q r R k w r T 3 d u L D J 9 J n F 1 b 3 Q 7 X S w m c X V v d D t S Z W x h d G l v b n N o a X B J b m Z v J n F 1 b 3 Q 7 O l t d f S I g L z 4 8 L 1 N 0 Y W J s Z U V u d H J p Z X M + P C 9 J d G V t P j x J d G V t P j x J d G V t T G 9 j Y X R p b 2 4 + P E l 0 Z W 1 U e X B l P k Z v c m 1 1 b G E 8 L 0 l 0 Z W 1 U e X B l P j x J d G V t U G F 0 a D 5 T Z W N 0 a W 9 u M S 9 S Z X N 0 R V R T M i U y Q k Z M J T J C T 3 d u L 1 N v d X J j Z T w v S X R l b V B h d G g + P C 9 J d G V t T G 9 j Y X R p b 2 4 + P F N 0 Y W J s Z U V u d H J p Z X M g L z 4 8 L 0 l 0 Z W 0 + P E l 0 Z W 0 + P E l 0 Z W 1 M b 2 N h d G l v b j 4 8 S X R l b V R 5 c G U + R m 9 y b X V s Y T w v S X R l b V R 5 c G U + P E l 0 Z W 1 Q Y X R o P l N l Y 3 R p b 2 4 x L 1 J l c 3 R F V F M y J T J C R k w l M k J P d 2 4 v Q 2 h h b m d l Z C U y M F R 5 c G U 8 L 0 l 0 Z W 1 Q Y X R o P j w v S X R l b U x v Y 2 F 0 a W 9 u P j x T d G F i b G V F b n R y a W V z I C 8 + P C 9 J d G V t P j x J d G V t P j x J d G V t T G 9 j Y X R p b 2 4 + P E l 0 Z W 1 U e X B l P k Z v c m 1 1 b G E 8 L 0 l 0 Z W 1 U e X B l P j x J d G V t U G F 0 a D 5 T Z W N 0 a W 9 u M S 9 S Z X N 0 R V R T M i U y Q k Z M J T J C T 3 d u L 1 V u c G l 2 b 3 R l Z C U y M E N v b H V t b n M 8 L 0 l 0 Z W 1 Q Y X R o P j w v S X R l b U x v Y 2 F 0 a W 9 u P j x T d G F i b G V F b n R y a W V z I C 8 + P C 9 J d G V t P j x J d G V t P j x J d G V t T G 9 j Y X R p b 2 4 + P E l 0 Z W 1 U e X B l P k Z v c m 1 1 b G E 8 L 0 l 0 Z W 1 U e X B l P j x J d G V t U G F 0 a D 5 T Z W N 0 a W 9 u M S 9 S Z X N 0 R V R T M i U y Q k Z M J T J C T 3 d u L 1 J l b m F t Z W Q l M j B D b 2 x 1 b W 5 z P C 9 J d G V t U G F 0 a D 4 8 L 0 l 0 Z W 1 M b 2 N h d G l v b j 4 8 U 3 R h Y m x l R W 5 0 c m l l c y A v P j w v S X R l b T 4 8 S X R l b T 4 8 S X R l b U x v Y 2 F 0 a W 9 u P j x J d G V t V H l w Z T 5 G b 3 J t d W x h P C 9 J d G V t V H l w Z T 4 8 S X R l b V B h d G g + U 2 V j d G l v b j E v Q X B w Z W 5 k M i 9 B c H B l b m R l Z C U y M F F 1 Z X J 5 P C 9 J d G V t U G F 0 a D 4 8 L 0 l 0 Z W 1 M b 2 N h d G l v b j 4 8 U 3 R h Y m x l R W 5 0 c m l l c y A v P j w v S X R l b T 4 8 S X R l b T 4 8 S X R l b U x v Y 2 F 0 a W 9 u P j x J d G V t V H l w Z T 5 G b 3 J t d W x h P C 9 J d G V t V H l w Z T 4 8 S X R l b V B h d G g + U 2 V j d G l v b j E v R E l T c G V y Y 2 F w a X R h L W F k a n V z d G V k P C 9 J d G V t U G F 0 a D 4 8 L 0 l 0 Z W 1 M b 2 N h d G l v b j 4 8 U 3 R h Y m x l R W 5 0 c m l l c z 4 8 R W 5 0 c n k g V H l w Z T 0 i S X N Q c m l 2 Y X R l I i B W Y W x 1 Z T 0 i b D A i I C 8 + P E V u d H J 5 I F R 5 c G U 9 I l F 1 Z X J 5 S U Q i I F Z h b H V l P S J z Y z k 3 Z m E 5 N m E t O T U w Y i 0 0 M 2 M 1 L T l k M G M t M T Q 4 N j g 0 Y W E 5 O D Y w I i A v P j x F b n R y e S B U e X B l P S J G a W x 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R X J y b 3 J D b 3 V u d C I g V m F s d W U 9 I m w w I i A v P j x F b n R y e S B U e X B l P S J G a W x s R X J y b 3 J D b 2 R l I i B W Y W x 1 Z T 0 i c 1 V u a 2 5 v d 2 4 i I C 8 + P E V u d H J 5 I F R 5 c G U 9 I k Z p b G x U b 0 R h d G F N b 2 R l b E V u Y W J s Z W Q i I F Z h b H V l P S J s M C I g L z 4 8 R W 5 0 c n k g V H l w Z T 0 i R m l s b E 9 i a m V j d F R 5 c G U i I F Z h b H V l P S J z Q 2 9 u b m V j d G l v b k 9 u b H k i I C 8 + P E V u d H J 5 I F R 5 c G U 9 I k Z p b G x M Y X N 0 V X B k Y X R l Z C I g V m F s d W U 9 I m Q y M D I 1 L T E y L T E 2 V D E w O j Q 4 O j U 1 L j M 1 M j c y M j V a I i A v P j x F b n R y e S B U e X B l P S J G a W x s Q 2 9 s d W 1 u V H l w Z X M i I F Z h b H V l P S J z Q m d Z Q S I g L z 4 8 R W 5 0 c n k g V H l w Z T 0 i R m l s b E N v d W 5 0 I i B W Y W x 1 Z T 0 i b D I y N C I g L z 4 8 R W 5 0 c n k g V H l w Z T 0 i R m l s b E N v b H V t b k 5 h b W V z I i B W Y W x 1 Z T 0 i c 1 s m c X V v d D t D b 3 V u d H J 5 J n F 1 b 3 Q 7 L C Z x d W 9 0 O 1 l l Y X I m c X V v d D s s J n F 1 b 3 Q 7 R E l T L W N h c G l 0 Y S 1 h Z G p 1 c 3 Q m c X V v d D t d I i A v P j x F b n R y e S B U e X B l P S J B Z G R l Z F R v R G F 0 Y U 1 v Z G V s I i B W Y W x 1 Z T 0 i b D A i I C 8 + P E V u d H J 5 I F R 5 c G U 9 I k Z p b G x T d G F 0 d X M i I F Z h b H V l P S J z Q 2 9 t c G x l d G U i I C 8 + P E V u d H J 5 I F R 5 c G U 9 I l J l b G F 0 a W 9 u c 2 h p c E l u Z m 9 D b 2 5 0 Y W l u Z X I i I F Z h b H V l P S J z e y Z x d W 9 0 O 2 N v b H V t b k N v d W 5 0 J n F 1 b 3 Q 7 O j M s J n F 1 b 3 Q 7 a 2 V 5 Q 2 9 s d W 1 u T m F t Z X M m c X V v d D s 6 W 1 0 s J n F 1 b 3 Q 7 c X V l c n l S Z W x h d G l v b n N o a X B z J n F 1 b 3 Q 7 O l t d L C Z x d W 9 0 O 2 N v b H V t b k l k Z W 5 0 a X R p Z X M m c X V v d D s 6 W y Z x d W 9 0 O 1 N l Y 3 R p b 2 4 x L 0 R J U 3 B l c m N h c G l 0 Y S 1 h Z G p 1 c 3 R l Z C 9 B d X R v U m V t b 3 Z l Z E N v b H V t b n M x L n t D b 3 V u d H J 5 L D B 9 J n F 1 b 3 Q 7 L C Z x d W 9 0 O 1 N l Y 3 R p b 2 4 x L 0 R J U 3 B l c m N h c G l 0 Y S 1 h Z G p 1 c 3 R l Z C 9 B d X R v U m V t b 3 Z l Z E N v b H V t b n M x L n t Z Z W F y L D F 9 J n F 1 b 3 Q 7 L C Z x d W 9 0 O 1 N l Y 3 R p b 2 4 x L 0 R J U 3 B l c m N h c G l 0 Y S 1 h Z G p 1 c 3 R l Z C 9 B d X R v U m V t b 3 Z l Z E N v b H V t b n M x L n t E S V M t Y 2 F w a X R h L W F k a n V z d C w y f S Z x d W 9 0 O 1 0 s J n F 1 b 3 Q 7 Q 2 9 s d W 1 u Q 2 9 1 b n Q m c X V v d D s 6 M y w m c X V v d D t L Z X l D b 2 x 1 b W 5 O Y W 1 l c y Z x d W 9 0 O z p b X S w m c X V v d D t D b 2 x 1 b W 5 J Z G V u d G l 0 a W V z J n F 1 b 3 Q 7 O l s m c X V v d D t T Z W N 0 a W 9 u M S 9 E S V N w Z X J j Y X B p d G E t Y W R q d X N 0 Z W Q v Q X V 0 b 1 J l b W 9 2 Z W R D b 2 x 1 b W 5 z M S 5 7 Q 2 9 1 b n R y e S w w f S Z x d W 9 0 O y w m c X V v d D t T Z W N 0 a W 9 u M S 9 E S V N w Z X J j Y X B p d G E t Y W R q d X N 0 Z W Q v Q X V 0 b 1 J l b W 9 2 Z W R D b 2 x 1 b W 5 z M S 5 7 W W V h c i w x f S Z x d W 9 0 O y w m c X V v d D t T Z W N 0 a W 9 u M S 9 E S V N w Z X J j Y X B p d G E t Y W R q d X N 0 Z W Q v Q X V 0 b 1 J l b W 9 2 Z W R D b 2 x 1 b W 5 z M S 5 7 R E l T L W N h c G l 0 Y S 1 h Z G p 1 c 3 Q s M n 0 m c X V v d D t d L C Z x d W 9 0 O 1 J l b G F 0 a W 9 u c 2 h p c E l u Z m 8 m c X V v d D s 6 W 1 1 9 I i A v P j w v U 3 R h Y m x l R W 5 0 c m l l c z 4 8 L 0 l 0 Z W 0 + P E l 0 Z W 0 + P E l 0 Z W 1 M b 2 N h d G l v b j 4 8 S X R l b V R 5 c G U + R m 9 y b X V s Y T w v S X R l b V R 5 c G U + P E l 0 Z W 1 Q Y X R o P l N l Y 3 R p b 2 4 x L 0 R J U 3 B l c m N h c G l 0 Y S 1 h Z G p 1 c 3 R l Z C 9 T b 3 V y Y 2 U 8 L 0 l 0 Z W 1 Q Y X R o P j w v S X R l b U x v Y 2 F 0 a W 9 u P j x T d G F i b G V F b n R y a W V z I C 8 + P C 9 J d G V t P j x J d G V t P j x J d G V t T G 9 j Y X R p b 2 4 + P E l 0 Z W 1 U e X B l P k Z v c m 1 1 b G E 8 L 0 l 0 Z W 1 U e X B l P j x J d G V t U G F 0 a D 5 T Z W N 0 a W 9 u M S 9 E S V N w Z X J j Y X B p d G E t Y W R q d X N 0 Z W Q v Q 2 h h b m d l Z C U y M F R 5 c G U 8 L 0 l 0 Z W 1 Q Y X R o P j w v S X R l b U x v Y 2 F 0 a W 9 u P j x T d G F i b G V F b n R y a W V z I C 8 + P C 9 J d G V t P j x J d G V t P j x J d G V t T G 9 j Y X R p b 2 4 + P E l 0 Z W 1 U e X B l P k Z v c m 1 1 b G E 8 L 0 l 0 Z W 1 U e X B l P j x J d G V t U G F 0 a D 5 T Z W N 0 a W 9 u M S 9 E S V N w Z X J j Y X B p d G E t Y W R q d X N 0 Z W Q v V W 5 w a X Z v d G V k J T I w Q 2 9 s d W 1 u c z w v S X R l b V B h d G g + P C 9 J d G V t T G 9 j Y X R p b 2 4 + P F N 0 Y W J s Z U V u d H J p Z X M g L z 4 8 L 0 l 0 Z W 0 + P E l 0 Z W 0 + P E l 0 Z W 1 M b 2 N h d G l v b j 4 8 S X R l b V R 5 c G U + R m 9 y b X V s Y T w v S X R l b V R 5 c G U + P E l 0 Z W 1 Q Y X R o P l N l Y 3 R p b 2 4 x L 0 R J U 3 B l c m N h c G l 0 Y S 1 h Z G p 1 c 3 R l Z C 9 S Z W 5 h b W V k J T I w Q 2 9 s d W 1 u c z w v S X R l b V B h d G g + P C 9 J d G V t T G 9 j Y X R p b 2 4 + P F N 0 Y W J s Z U V u d H J p Z X M g L z 4 8 L 0 l 0 Z W 0 + P E l 0 Z W 0 + P E l 0 Z W 1 M b 2 N h d G l v b j 4 8 S X R l b V R 5 c G U + R m 9 y b X V s Y T w v S X R l b V R 5 c G U + P E l 0 Z W 1 Q Y X R o P l N l Y 3 R p b 2 4 x L 0 F w c G V u Z D I v Q X B w Z W 5 k Z W Q l M j B R d W V y e T E 8 L 0 l 0 Z W 1 Q Y X R o P j w v S X R l b U x v Y 2 F 0 a W 9 u P j x T d G F i b G V F b n R y a W V z I C 8 + P C 9 J d G V t P j w v S X R l b X M + P C 9 M b 2 N h b F B h Y 2 t h Z 2 V N Z X R h Z G F 0 Y U Z p b G U + F g A A A F B L B Q Y A A A A A A A A A A A A A A A A A A A A A A A A m A Q A A A Q A A A N C M n d 8 B F d E R j H o A w E / C l + s B A A A A t 6 z o w 3 H o N E y t t V Z L J 4 L b 7 A A A A A A C A A A A A A A Q Z g A A A A E A A C A A A A C x n 0 Z D 9 E 8 A 0 R Y z p k q v 7 0 w C b 1 k 9 M 4 e Z A S e S F F m L S P 2 X Z g A A A A A O g A A A A A I A A C A A A A B x R R R d 6 9 n Z z J D D 3 h V q 8 v X P n P c r V 2 5 U z M m V a 9 a t j B W n B F A A A A D h g C W b 6 n e L U 5 u + B 2 5 Z n e J b H 9 S H c y l k v J 2 I p 9 G B S l J a L J 4 d W Q b D F b y 5 Q A 3 5 M b 7 b M q e A V I L v f 0 / S r N t m U + N z z F / U c v q K E 9 J l i 6 1 U L F 3 m h v R d S k A A A A A Q a V G u 9 y S g O c H n W H w o J y P l 1 + i L X O r y S 5 c u Y d Z c I D 7 m P Y q 8 2 A x q T N 9 U W o S 4 8 X 7 z a y K N 1 L 4 p 6 9 8 R 8 3 R A H / F D / x 5 Z < / D a t a M a s h u p > 
</file>

<file path=customXml/item3.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 A p p e n d 2 < / K e y > < V a l u e   x m l n s : a = " h t t p : / / s c h e m a s . d a t a c o n t r a c t . o r g / 2 0 0 4 / 0 7 / M i c r o s o f t . A n a l y s i s S e r v i c e s . C o m m o n " > < a : H a s F o c u s > t r u e < / a : H a s F o c u s > < a : S i z e A t D p i 9 6 > 1 1 4 < / a : S i z e A t D p i 9 6 > < a : V i s i b l e > t r u e < / a : V i s i b l e > < / V a l u e > < / K e y V a l u e O f s t r i n g S a n d b o x E d i t o r . M e a s u r e G r i d S t a t e S c d E 3 5 R y > < / A r r a y O f K e y V a l u e O f s t r i n g S a n d b o x E d i t o r . M e a s u r e G r i d S t a t e S c d E 3 5 R y > ] ] > < / C u s t o m C o n t e n t > < / G e m i n i > 
</file>

<file path=customXml/item4.xml>��< ? x m l   v e r s i o n = " 1 . 0 "   e n c o d i n g = " U T F - 1 6 " ? > < G e m i n i   x m l n s = " h t t p : / / g e m i n i / p i v o t c u s t o m i z a t i o n / L i n k e d T a b l e U p d a t e M o d e " > < C u s t o m C o n t e n t > < ! [ C D A T A [ T r u e ] ] > < / C u s t o m C o n t e n t > < / G e m i n i > 
</file>

<file path=customXml/item5.xml>��< ? x m l   v e r s i o n = " 1 . 0 "   e n c o d i n g = " U T F - 1 6 " ? > < G e m i n i   x m l n s = " h t t p : / / g e m i n i / p i v o t c u s t o m i z a t i o n / T a b l e O r d e r " > < C u s t o m C o n t e n t > < ! [ C D A T A [ A p p e n d 2 ] ] > < / C u s t o m C o n t e n t > < / G e m i n i > 
</file>

<file path=customXml/item6.xml>��< ? x m l   v e r s i o n = " 1 . 0 "   e n c o d i n g = " U T F - 1 6 " ? > < G e m i n i   x m l n s = " h t t p : / / g e m i n i / p i v o t c u s t o m i z a t i o n / S a n d b o x N o n E m p t y " > < C u s t o m C o n t e n t > < ! [ C D A T A [ 1 ] ] > < / C u s t o m C o n t e n t > < / G e m i n i > 
</file>

<file path=customXml/item7.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A l l K e y s > < 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V i e w S t a t e s > < / D i a g r a m M a n a g e r . S e r i a l i z a b l e D i a g r a m > < D i a g r a m M a n a g e r . S e r i a l i z a b l e D i a g r a m > < A d a p t e r   i : t y p e = " M e a s u r e D i a g r a m S a n d b o x A d a p t e r " > < T a b l e N a m e > A p p e n d 2 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 A p p e n d 2 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 T o t a l   S C F   i n c l .   o w n   c o n t r i b u t i o n   p e r   c a p i t a < / K e y > < / D i a g r a m O b j e c t K e y > < D i a g r a m O b j e c t K e y > < K e y > M e a s u r e s \ S u m   o f   T o t a l   S C F   i n c l .   o w n   c o n t r i b u t i o n   p e r   c a p i t a \ T a g I n f o \ F o r m u l a < / K e y > < / D i a g r a m O b j e c t K e y > < D i a g r a m O b j e c t K e y > < K e y > M e a s u r e s \ S u m   o f   T o t a l   S C F   i n c l .   o w n   c o n t r i b u t i o n   p e r   c a p i t a \ T a g I n f o \ V a l u e < / K e y > < / D i a g r a m O b j e c t K e y > < D i a g r a m O b j e c t K e y > < K e y > M e a s u r e s \ S u m   o f   R e s t   o f   E T S 2   r e v e n u e s   a f t e r   o w n   c o n t r i b u t i o n   p e r   c a p i t a < / K e y > < / D i a g r a m O b j e c t K e y > < D i a g r a m O b j e c t K e y > < K e y > M e a s u r e s \ S u m   o f   R e s t   o f   E T S 2   r e v e n u e s   a f t e r   o w n   c o n t r i b u t i o n   p e r   c a p i t a \ T a g I n f o \ F o r m u l a < / K e y > < / D i a g r a m O b j e c t K e y > < D i a g r a m O b j e c t K e y > < K e y > M e a s u r e s \ S u m   o f   R e s t   o f   E T S 2   r e v e n u e s   a f t e r   o w n   c o n t r i b u t i o n   p e r   c a p i t a \ T a g I n f o \ V a l u e < / K e y > < / D i a g r a m O b j e c t K e y > < D i a g r a m O b j e c t K e y > < K e y > M e a s u r e s \ S u m   o f   F r o n t l o a d i n g < / K e y > < / D i a g r a m O b j e c t K e y > < D i a g r a m O b j e c t K e y > < K e y > M e a s u r e s \ S u m   o f   F r o n t l o a d i n g \ T a g I n f o \ F o r m u l a < / K e y > < / D i a g r a m O b j e c t K e y > < D i a g r a m O b j e c t K e y > < K e y > M e a s u r e s \ S u m   o f   F r o n t l o a d i n g \ T a g I n f o \ V a l u e < / K e y > < / D i a g r a m O b j e c t K e y > < D i a g r a m O b j e c t K e y > < K e y > C o l u m n s \ C o u n t r y < / K e y > < / D i a g r a m O b j e c t K e y > < D i a g r a m O b j e c t K e y > < K e y > C o l u m n s \ Y e a r < / K e y > < / D i a g r a m O b j e c t K e y > < D i a g r a m O b j e c t K e y > < K e y > C o l u m n s \ S C F   r e v e n u e s < / K e y > < / D i a g r a m O b j e c t K e y > < D i a g r a m O b j e c t K e y > < K e y > C o l u m n s \ E T S 2   a u c t i o n   r e v e n u e s   o u t i d e   S C F < / K e y > < / D i a g r a m O b j e c t K e y > < D i a g r a m O b j e c t K e y > < K e y > C o l u m n s \ M i n .   o w n   c o n t r i b u t i o n   t o   e x p e n s e s   b y   M S   t o   S C F < / K e y > < / D i a g r a m O b j e c t K e y > < D i a g r a m O b j e c t K e y > < K e y > C o l u m n s \ T o t a l   S C F   i n c l .   o w n   c o n t r i b u t i o n < / K e y > < / D i a g r a m O b j e c t K e y > < D i a g r a m O b j e c t K e y > < K e y > C o l u m n s \ R e s t   o f   E T S 2   r e v e n u e s   a f t e r   o w n   c o n t r i b u t i o n < / K e y > < / D i a g r a m O b j e c t K e y > < D i a g r a m O b j e c t K e y > < K e y > C o l u m n s \ T o t a l   E T S 2   +   S C F   r e v e n u e s < / K e y > < / D i a g r a m O b j e c t K e y > < D i a g r a m O b j e c t K e y > < K e y > C o l u m n s \ M a x   d i r e c t   r e d i s t r i b u t i o n   i n   S C F < / K e y > < / D i a g r a m O b j e c t K e y > < D i a g r a m O b j e c t K e y > < K e y > C o l u m n s \ T o t a l   S C F   i n c l .   o w n   c o n t r i b u t i o n   p e r   c a p i t a < / K e y > < / D i a g r a m O b j e c t K e y > < D i a g r a m O b j e c t K e y > < K e y > C o l u m n s \ R e s t   o f   E T S 2   r e v e n u e s   a f t e r   o w n   c o n t r i b u t i o n   p e r   c a p i t a < / K e y > < / D i a g r a m O b j e c t K e y > < D i a g r a m O b j e c t K e y > < K e y > C o l u m n s \ M a x i m u m   d i r e c t   r e d i s t r i b u t i o n   i n   S C F   p e r   c a p i t a < / K e y > < / D i a g r a m O b j e c t K e y > < D i a g r a m O b j e c t K e y > < K e y > C o l u m n s \ M a x   r e d i s t r i b u t i o n   p e r   c a p i t a   -   l o w e r   i n c o m e   h o u s e h o l d s < / K e y > < / D i a g r a m O b j e c t K e y > < D i a g r a m O b j e c t K e y > < K e y > C o l u m n s \ M a x   r e d i s t r i b u t i o n   t o   p o p   a t   r i s k   o f   p o v e r t y < / K e y > < / D i a g r a m O b j e c t K e y > < D i a g r a m O b j e c t K e y > < K e y > C o l u m n s \ F r o n t l o a d i n g < / K e y > < / D i a g r a m O b j e c t K e y > < D i a g r a m O b j e c t K e y > < K e y > C o l u m n s \ F r o n t l o a d i n g   p e r   c a p < / K e y > < / D i a g r a m O b j e c t K e y > < D i a g r a m O b j e c t K e y > < K e y > C o l u m n s \ C l i m a t e   d i v i d e n d   p e r   c a p < / K e y > < / D i a g r a m O b j e c t K e y > < D i a g r a m O b j e c t K e y > < K e y > C o l u m n s \ A l l   r e v e n u e s   P e r   c a p   l o w < / K e y > < / D i a g r a m O b j e c t K e y > < D i a g r a m O b j e c t K e y > < K e y > C o l u m n s \ A l l   r e v e n u e s   p e r   c a p   p o v e r t y < / K e y > < / D i a g r a m O b j e c t K e y > < D i a g r a m O b j e c t K e y > < K e y > C o l u m n s \ R e v e n u e < / K e y > < / D i a g r a m O b j e c t K e y > < D i a g r a m O b j e c t K e y > < K e y > C o l u m n s \ C l i m a t e   d i v i d e n d < / K e y > < / D i a g r a m O b j e c t K e y > < D i a g r a m O b j e c t K e y > < K e y > C o l u m n s \ S o c i a l E V < / K e y > < / D i a g r a m O b j e c t K e y > < D i a g r a m O b j e c t K e y > < K e y > C o l u m n s \ H e a t   p u m p   s u b s i d i e s < / K e y > < / D i a g r a m O b j e c t K e y > < D i a g r a m O b j e c t K e y > < K e y > C o l u m n s \ S o c i a l   l e a s i n g   H P < / K e y > < / D i a g r a m O b j e c t K e y > < D i a g r a m O b j e c t K e y > < K e y > C o l u m n s \ S p a l t e 1 < / K e y > < / D i a g r a m O b j e c t K e y > < D i a g r a m O b j e c t K e y > < K e y > C o l u m n s \ S p a l t e 2 < / K e y > < / D i a g r a m O b j e c t K e y > < D i a g r a m O b j e c t K e y > < K e y > C o l u m n s \ S p a l t e 3 < / K e y > < / D i a g r a m O b j e c t K e y > < D i a g r a m O b j e c t K e y > < K e y > C o l u m n s \ S p a l t e 4 < / K e y > < / D i a g r a m O b j e c t K e y > < D i a g r a m O b j e c t K e y > < K e y > C o l u m n s \ S p a l t e 5 < / K e y > < / D i a g r a m O b j e c t K e y > < D i a g r a m O b j e c t K e y > < K e y > C o l u m n s \ S p a l t e 6 < / K e y > < / D i a g r a m O b j e c t K e y > < D i a g r a m O b j e c t K e y > < K e y > L i n k s \ & l t ; C o l u m n s \ S u m   o f   T o t a l   S C F   i n c l .   o w n   c o n t r i b u t i o n   p e r   c a p i t a & g t ; - & l t ; M e a s u r e s \ T o t a l   S C F   i n c l .   o w n   c o n t r i b u t i o n   p e r   c a p i t a & g t ; < / K e y > < / D i a g r a m O b j e c t K e y > < D i a g r a m O b j e c t K e y > < K e y > L i n k s \ & l t ; C o l u m n s \ S u m   o f   T o t a l   S C F   i n c l .   o w n   c o n t r i b u t i o n   p e r   c a p i t a & g t ; - & l t ; M e a s u r e s \ T o t a l   S C F   i n c l .   o w n   c o n t r i b u t i o n   p e r   c a p i t a & g t ; \ C O L U M N < / K e y > < / D i a g r a m O b j e c t K e y > < D i a g r a m O b j e c t K e y > < K e y > L i n k s \ & l t ; C o l u m n s \ S u m   o f   T o t a l   S C F   i n c l .   o w n   c o n t r i b u t i o n   p e r   c a p i t a & g t ; - & l t ; M e a s u r e s \ T o t a l   S C F   i n c l .   o w n   c o n t r i b u t i o n   p e r   c a p i t a & g t ; \ M E A S U R E < / K e y > < / D i a g r a m O b j e c t K e y > < D i a g r a m O b j e c t K e y > < K e y > L i n k s \ & l t ; C o l u m n s \ S u m   o f   R e s t   o f   E T S 2   r e v e n u e s   a f t e r   o w n   c o n t r i b u t i o n   p e r   c a p i t a & g t ; - & l t ; M e a s u r e s \ R e s t   o f   E T S 2   r e v e n u e s   a f t e r   o w n   c o n t r i b u t i o n   p e r   c a p i t a & g t ; < / K e y > < / D i a g r a m O b j e c t K e y > < D i a g r a m O b j e c t K e y > < K e y > L i n k s \ & l t ; C o l u m n s \ S u m   o f   R e s t   o f   E T S 2   r e v e n u e s   a f t e r   o w n   c o n t r i b u t i o n   p e r   c a p i t a & g t ; - & l t ; M e a s u r e s \ R e s t   o f   E T S 2   r e v e n u e s   a f t e r   o w n   c o n t r i b u t i o n   p e r   c a p i t a & g t ; \ C O L U M N < / K e y > < / D i a g r a m O b j e c t K e y > < D i a g r a m O b j e c t K e y > < K e y > L i n k s \ & l t ; C o l u m n s \ S u m   o f   R e s t   o f   E T S 2   r e v e n u e s   a f t e r   o w n   c o n t r i b u t i o n   p e r   c a p i t a & g t ; - & l t ; M e a s u r e s \ R e s t   o f   E T S 2   r e v e n u e s   a f t e r   o w n   c o n t r i b u t i o n   p e r   c a p i t a & g t ; \ M E A S U R E < / K e y > < / D i a g r a m O b j e c t K e y > < D i a g r a m O b j e c t K e y > < K e y > L i n k s \ & l t ; C o l u m n s \ S u m   o f   F r o n t l o a d i n g & g t ; - & l t ; M e a s u r e s \ F r o n t l o a d i n g & g t ; < / K e y > < / D i a g r a m O b j e c t K e y > < D i a g r a m O b j e c t K e y > < K e y > L i n k s \ & l t ; C o l u m n s \ S u m   o f   F r o n t l o a d i n g & g t ; - & l t ; M e a s u r e s \ F r o n t l o a d i n g & g t ; \ C O L U M N < / K e y > < / D i a g r a m O b j e c t K e y > < D i a g r a m O b j e c t K e y > < K e y > L i n k s \ & l t ; C o l u m n s \ S u m   o f   F r o n t l o a d i n g & g t ; - & l t ; M e a s u r e s \ F r o n t l o a d i n g & g t ; \ M E A S U R E 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 T o t a l   S C F   i n c l .   o w n   c o n t r i b u t i o n   p e r   c a p i t a < / K e y > < / a : K e y > < a : V a l u e   i : t y p e = " M e a s u r e G r i d N o d e V i e w S t a t e " > < C o l u m n > 9 < / C o l u m n > < L a y e d O u t > t r u e < / L a y e d O u t > < W a s U I I n v i s i b l e > t r u e < / W a s U I I n v i s i b l e > < / a : V a l u e > < / a : K e y V a l u e O f D i a g r a m O b j e c t K e y a n y T y p e z b w N T n L X > < a : K e y V a l u e O f D i a g r a m O b j e c t K e y a n y T y p e z b w N T n L X > < a : K e y > < K e y > M e a s u r e s \ S u m   o f   T o t a l   S C F   i n c l .   o w n   c o n t r i b u t i o n   p e r   c a p i t a \ T a g I n f o \ F o r m u l a < / K e y > < / a : K e y > < a : V a l u e   i : t y p e = " M e a s u r e G r i d V i e w S t a t e I D i a g r a m T a g A d d i t i o n a l I n f o " / > < / a : K e y V a l u e O f D i a g r a m O b j e c t K e y a n y T y p e z b w N T n L X > < a : K e y V a l u e O f D i a g r a m O b j e c t K e y a n y T y p e z b w N T n L X > < a : K e y > < K e y > M e a s u r e s \ S u m   o f   T o t a l   S C F   i n c l .   o w n   c o n t r i b u t i o n   p e r   c a p i t a \ T a g I n f o \ V a l u e < / K e y > < / a : K e y > < a : V a l u e   i : t y p e = " M e a s u r e G r i d V i e w S t a t e I D i a g r a m T a g A d d i t i o n a l I n f o " / > < / a : K e y V a l u e O f D i a g r a m O b j e c t K e y a n y T y p e z b w N T n L X > < a : K e y V a l u e O f D i a g r a m O b j e c t K e y a n y T y p e z b w N T n L X > < a : K e y > < K e y > M e a s u r e s \ S u m   o f   R e s t   o f   E T S 2   r e v e n u e s   a f t e r   o w n   c o n t r i b u t i o n   p e r   c a p i t a < / K e y > < / a : K e y > < a : V a l u e   i : t y p e = " M e a s u r e G r i d N o d e V i e w S t a t e " > < C o l u m n > 1 0 < / C o l u m n > < L a y e d O u t > t r u e < / L a y e d O u t > < W a s U I I n v i s i b l e > t r u e < / W a s U I I n v i s i b l e > < / a : V a l u e > < / a : K e y V a l u e O f D i a g r a m O b j e c t K e y a n y T y p e z b w N T n L X > < a : K e y V a l u e O f D i a g r a m O b j e c t K e y a n y T y p e z b w N T n L X > < a : K e y > < K e y > M e a s u r e s \ S u m   o f   R e s t   o f   E T S 2   r e v e n u e s   a f t e r   o w n   c o n t r i b u t i o n   p e r   c a p i t a \ T a g I n f o \ F o r m u l a < / K e y > < / a : K e y > < a : V a l u e   i : t y p e = " M e a s u r e G r i d V i e w S t a t e I D i a g r a m T a g A d d i t i o n a l I n f o " / > < / a : K e y V a l u e O f D i a g r a m O b j e c t K e y a n y T y p e z b w N T n L X > < a : K e y V a l u e O f D i a g r a m O b j e c t K e y a n y T y p e z b w N T n L X > < a : K e y > < K e y > M e a s u r e s \ S u m   o f   R e s t   o f   E T S 2   r e v e n u e s   a f t e r   o w n   c o n t r i b u t i o n   p e r   c a p i t a \ T a g I n f o \ V a l u e < / K e y > < / a : K e y > < a : V a l u e   i : t y p e = " M e a s u r e G r i d V i e w S t a t e I D i a g r a m T a g A d d i t i o n a l I n f o " / > < / a : K e y V a l u e O f D i a g r a m O b j e c t K e y a n y T y p e z b w N T n L X > < a : K e y V a l u e O f D i a g r a m O b j e c t K e y a n y T y p e z b w N T n L X > < a : K e y > < K e y > M e a s u r e s \ S u m   o f   F r o n t l o a d i n g < / K e y > < / a : K e y > < a : V a l u e   i : t y p e = " M e a s u r e G r i d N o d e V i e w S t a t e " > < C o l u m n > 1 4 < / C o l u m n > < L a y e d O u t > t r u e < / L a y e d O u t > < W a s U I I n v i s i b l e > t r u e < / W a s U I I n v i s i b l e > < / a : V a l u e > < / a : K e y V a l u e O f D i a g r a m O b j e c t K e y a n y T y p e z b w N T n L X > < a : K e y V a l u e O f D i a g r a m O b j e c t K e y a n y T y p e z b w N T n L X > < a : K e y > < K e y > M e a s u r e s \ S u m   o f   F r o n t l o a d i n g \ T a g I n f o \ F o r m u l a < / K e y > < / a : K e y > < a : V a l u e   i : t y p e = " M e a s u r e G r i d V i e w S t a t e I D i a g r a m T a g A d d i t i o n a l I n f o " / > < / a : K e y V a l u e O f D i a g r a m O b j e c t K e y a n y T y p e z b w N T n L X > < a : K e y V a l u e O f D i a g r a m O b j e c t K e y a n y T y p e z b w N T n L X > < a : K e y > < K e y > M e a s u r e s \ S u m   o f   F r o n t l o a d i n g \ T a g I n f o \ V a l u e < / K e y > < / a : K e y > < a : V a l u e   i : t y p e = " M e a s u r e G r i d V i e w S t a t e I D i a g r a m T a g A d d i t i o n a l I n f o " / > < / a : K e y V a l u e O f D i a g r a m O b j e c t K e y a n y T y p e z b w N T n L X > < a : K e y V a l u e O f D i a g r a m O b j e c t K e y a n y T y p e z b w N T n L X > < a : K e y > < K e y > C o l u m n s \ C o u n t r y < / K e y > < / a : K e y > < a : V a l u e   i : t y p e = " M e a s u r e G r i d N o d e V i e w S t a t e " > < L a y e d O u t > t r u e < / L a y e d O u t > < / a : V a l u e > < / a : K e y V a l u e O f D i a g r a m O b j e c t K e y a n y T y p e z b w N T n L X > < a : K e y V a l u e O f D i a g r a m O b j e c t K e y a n y T y p e z b w N T n L X > < a : K e y > < K e y > C o l u m n s \ Y e a r < / K e y > < / a : K e y > < a : V a l u e   i : t y p e = " M e a s u r e G r i d N o d e V i e w S t a t e " > < C o l u m n > 1 < / C o l u m n > < L a y e d O u t > t r u e < / L a y e d O u t > < / a : V a l u e > < / a : K e y V a l u e O f D i a g r a m O b j e c t K e y a n y T y p e z b w N T n L X > < a : K e y V a l u e O f D i a g r a m O b j e c t K e y a n y T y p e z b w N T n L X > < a : K e y > < K e y > C o l u m n s \ S C F   r e v e n u e s < / K e y > < / a : K e y > < a : V a l u e   i : t y p e = " M e a s u r e G r i d N o d e V i e w S t a t e " > < C o l u m n > 2 < / C o l u m n > < L a y e d O u t > t r u e < / L a y e d O u t > < / a : V a l u e > < / a : K e y V a l u e O f D i a g r a m O b j e c t K e y a n y T y p e z b w N T n L X > < a : K e y V a l u e O f D i a g r a m O b j e c t K e y a n y T y p e z b w N T n L X > < a : K e y > < K e y > C o l u m n s \ E T S 2   a u c t i o n   r e v e n u e s   o u t i d e   S C F < / K e y > < / a : K e y > < a : V a l u e   i : t y p e = " M e a s u r e G r i d N o d e V i e w S t a t e " > < C o l u m n > 3 < / C o l u m n > < L a y e d O u t > t r u e < / L a y e d O u t > < / a : V a l u e > < / a : K e y V a l u e O f D i a g r a m O b j e c t K e y a n y T y p e z b w N T n L X > < a : K e y V a l u e O f D i a g r a m O b j e c t K e y a n y T y p e z b w N T n L X > < a : K e y > < K e y > C o l u m n s \ M i n .   o w n   c o n t r i b u t i o n   t o   e x p e n s e s   b y   M S   t o   S C F < / K e y > < / a : K e y > < a : V a l u e   i : t y p e = " M e a s u r e G r i d N o d e V i e w S t a t e " > < C o l u m n > 4 < / C o l u m n > < L a y e d O u t > t r u e < / L a y e d O u t > < / a : V a l u e > < / a : K e y V a l u e O f D i a g r a m O b j e c t K e y a n y T y p e z b w N T n L X > < a : K e y V a l u e O f D i a g r a m O b j e c t K e y a n y T y p e z b w N T n L X > < a : K e y > < K e y > C o l u m n s \ T o t a l   S C F   i n c l .   o w n   c o n t r i b u t i o n < / K e y > < / a : K e y > < a : V a l u e   i : t y p e = " M e a s u r e G r i d N o d e V i e w S t a t e " > < C o l u m n > 5 < / C o l u m n > < L a y e d O u t > t r u e < / L a y e d O u t > < / a : V a l u e > < / a : K e y V a l u e O f D i a g r a m O b j e c t K e y a n y T y p e z b w N T n L X > < a : K e y V a l u e O f D i a g r a m O b j e c t K e y a n y T y p e z b w N T n L X > < a : K e y > < K e y > C o l u m n s \ R e s t   o f   E T S 2   r e v e n u e s   a f t e r   o w n   c o n t r i b u t i o n < / K e y > < / a : K e y > < a : V a l u e   i : t y p e = " M e a s u r e G r i d N o d e V i e w S t a t e " > < C o l u m n > 6 < / C o l u m n > < L a y e d O u t > t r u e < / L a y e d O u t > < / a : V a l u e > < / a : K e y V a l u e O f D i a g r a m O b j e c t K e y a n y T y p e z b w N T n L X > < a : K e y V a l u e O f D i a g r a m O b j e c t K e y a n y T y p e z b w N T n L X > < a : K e y > < K e y > C o l u m n s \ T o t a l   E T S 2   +   S C F   r e v e n u e s < / K e y > < / a : K e y > < a : V a l u e   i : t y p e = " M e a s u r e G r i d N o d e V i e w S t a t e " > < C o l u m n > 7 < / C o l u m n > < L a y e d O u t > t r u e < / L a y e d O u t > < / a : V a l u e > < / a : K e y V a l u e O f D i a g r a m O b j e c t K e y a n y T y p e z b w N T n L X > < a : K e y V a l u e O f D i a g r a m O b j e c t K e y a n y T y p e z b w N T n L X > < a : K e y > < K e y > C o l u m n s \ M a x   d i r e c t   r e d i s t r i b u t i o n   i n   S C F < / K e y > < / a : K e y > < a : V a l u e   i : t y p e = " M e a s u r e G r i d N o d e V i e w S t a t e " > < C o l u m n > 8 < / C o l u m n > < L a y e d O u t > t r u e < / L a y e d O u t > < / a : V a l u e > < / a : K e y V a l u e O f D i a g r a m O b j e c t K e y a n y T y p e z b w N T n L X > < a : K e y V a l u e O f D i a g r a m O b j e c t K e y a n y T y p e z b w N T n L X > < a : K e y > < K e y > C o l u m n s \ T o t a l   S C F   i n c l .   o w n   c o n t r i b u t i o n   p e r   c a p i t a < / K e y > < / a : K e y > < a : V a l u e   i : t y p e = " M e a s u r e G r i d N o d e V i e w S t a t e " > < C o l u m n > 9 < / C o l u m n > < L a y e d O u t > t r u e < / L a y e d O u t > < / a : V a l u e > < / a : K e y V a l u e O f D i a g r a m O b j e c t K e y a n y T y p e z b w N T n L X > < a : K e y V a l u e O f D i a g r a m O b j e c t K e y a n y T y p e z b w N T n L X > < a : K e y > < K e y > C o l u m n s \ R e s t   o f   E T S 2   r e v e n u e s   a f t e r   o w n   c o n t r i b u t i o n   p e r   c a p i t a < / K e y > < / a : K e y > < a : V a l u e   i : t y p e = " M e a s u r e G r i d N o d e V i e w S t a t e " > < C o l u m n > 1 0 < / C o l u m n > < L a y e d O u t > t r u e < / L a y e d O u t > < / a : V a l u e > < / a : K e y V a l u e O f D i a g r a m O b j e c t K e y a n y T y p e z b w N T n L X > < a : K e y V a l u e O f D i a g r a m O b j e c t K e y a n y T y p e z b w N T n L X > < a : K e y > < K e y > C o l u m n s \ M a x i m u m   d i r e c t   r e d i s t r i b u t i o n   i n   S C F   p e r   c a p i t a < / K e y > < / a : K e y > < a : V a l u e   i : t y p e = " M e a s u r e G r i d N o d e V i e w S t a t e " > < C o l u m n > 1 1 < / C o l u m n > < L a y e d O u t > t r u e < / L a y e d O u t > < / a : V a l u e > < / a : K e y V a l u e O f D i a g r a m O b j e c t K e y a n y T y p e z b w N T n L X > < a : K e y V a l u e O f D i a g r a m O b j e c t K e y a n y T y p e z b w N T n L X > < a : K e y > < K e y > C o l u m n s \ M a x   r e d i s t r i b u t i o n   p e r   c a p i t a   -   l o w e r   i n c o m e   h o u s e h o l d s < / K e y > < / a : K e y > < a : V a l u e   i : t y p e = " M e a s u r e G r i d N o d e V i e w S t a t e " > < C o l u m n > 1 2 < / C o l u m n > < L a y e d O u t > t r u e < / L a y e d O u t > < / a : V a l u e > < / a : K e y V a l u e O f D i a g r a m O b j e c t K e y a n y T y p e z b w N T n L X > < a : K e y V a l u e O f D i a g r a m O b j e c t K e y a n y T y p e z b w N T n L X > < a : K e y > < K e y > C o l u m n s \ M a x   r e d i s t r i b u t i o n   t o   p o p   a t   r i s k   o f   p o v e r t y < / K e y > < / a : K e y > < a : V a l u e   i : t y p e = " M e a s u r e G r i d N o d e V i e w S t a t e " > < C o l u m n > 1 3 < / C o l u m n > < L a y e d O u t > t r u e < / L a y e d O u t > < / a : V a l u e > < / a : K e y V a l u e O f D i a g r a m O b j e c t K e y a n y T y p e z b w N T n L X > < a : K e y V a l u e O f D i a g r a m O b j e c t K e y a n y T y p e z b w N T n L X > < a : K e y > < K e y > C o l u m n s \ F r o n t l o a d i n g < / K e y > < / a : K e y > < a : V a l u e   i : t y p e = " M e a s u r e G r i d N o d e V i e w S t a t e " > < C o l u m n > 1 4 < / C o l u m n > < L a y e d O u t > t r u e < / L a y e d O u t > < / a : V a l u e > < / a : K e y V a l u e O f D i a g r a m O b j e c t K e y a n y T y p e z b w N T n L X > < a : K e y V a l u e O f D i a g r a m O b j e c t K e y a n y T y p e z b w N T n L X > < a : K e y > < K e y > C o l u m n s \ F r o n t l o a d i n g   p e r   c a p < / K e y > < / a : K e y > < a : V a l u e   i : t y p e = " M e a s u r e G r i d N o d e V i e w S t a t e " > < C o l u m n > 1 5 < / C o l u m n > < L a y e d O u t > t r u e < / L a y e d O u t > < / a : V a l u e > < / a : K e y V a l u e O f D i a g r a m O b j e c t K e y a n y T y p e z b w N T n L X > < a : K e y V a l u e O f D i a g r a m O b j e c t K e y a n y T y p e z b w N T n L X > < a : K e y > < K e y > C o l u m n s \ C l i m a t e   d i v i d e n d   p e r   c a p < / K e y > < / a : K e y > < a : V a l u e   i : t y p e = " M e a s u r e G r i d N o d e V i e w S t a t e " > < C o l u m n > 1 6 < / C o l u m n > < L a y e d O u t > t r u e < / L a y e d O u t > < / a : V a l u e > < / a : K e y V a l u e O f D i a g r a m O b j e c t K e y a n y T y p e z b w N T n L X > < a : K e y V a l u e O f D i a g r a m O b j e c t K e y a n y T y p e z b w N T n L X > < a : K e y > < K e y > C o l u m n s \ A l l   r e v e n u e s   P e r   c a p   l o w < / K e y > < / a : K e y > < a : V a l u e   i : t y p e = " M e a s u r e G r i d N o d e V i e w S t a t e " > < C o l u m n > 1 7 < / C o l u m n > < L a y e d O u t > t r u e < / L a y e d O u t > < / a : V a l u e > < / a : K e y V a l u e O f D i a g r a m O b j e c t K e y a n y T y p e z b w N T n L X > < a : K e y V a l u e O f D i a g r a m O b j e c t K e y a n y T y p e z b w N T n L X > < a : K e y > < K e y > C o l u m n s \ A l l   r e v e n u e s   p e r   c a p   p o v e r t y < / K e y > < / a : K e y > < a : V a l u e   i : t y p e = " M e a s u r e G r i d N o d e V i e w S t a t e " > < C o l u m n > 1 8 < / C o l u m n > < L a y e d O u t > t r u e < / L a y e d O u t > < / a : V a l u e > < / a : K e y V a l u e O f D i a g r a m O b j e c t K e y a n y T y p e z b w N T n L X > < a : K e y V a l u e O f D i a g r a m O b j e c t K e y a n y T y p e z b w N T n L X > < a : K e y > < K e y > C o l u m n s \ R e v e n u e < / K e y > < / a : K e y > < a : V a l u e   i : t y p e = " M e a s u r e G r i d N o d e V i e w S t a t e " > < C o l u m n > 1 9 < / C o l u m n > < L a y e d O u t > t r u e < / L a y e d O u t > < / a : V a l u e > < / a : K e y V a l u e O f D i a g r a m O b j e c t K e y a n y T y p e z b w N T n L X > < a : K e y V a l u e O f D i a g r a m O b j e c t K e y a n y T y p e z b w N T n L X > < a : K e y > < K e y > C o l u m n s \ C l i m a t e   d i v i d e n d < / K e y > < / a : K e y > < a : V a l u e   i : t y p e = " M e a s u r e G r i d N o d e V i e w S t a t e " > < C o l u m n > 2 0 < / C o l u m n > < L a y e d O u t > t r u e < / L a y e d O u t > < / a : V a l u e > < / a : K e y V a l u e O f D i a g r a m O b j e c t K e y a n y T y p e z b w N T n L X > < a : K e y V a l u e O f D i a g r a m O b j e c t K e y a n y T y p e z b w N T n L X > < a : K e y > < K e y > C o l u m n s \ S o c i a l E V < / K e y > < / a : K e y > < a : V a l u e   i : t y p e = " M e a s u r e G r i d N o d e V i e w S t a t e " > < C o l u m n > 2 1 < / C o l u m n > < L a y e d O u t > t r u e < / L a y e d O u t > < / a : V a l u e > < / a : K e y V a l u e O f D i a g r a m O b j e c t K e y a n y T y p e z b w N T n L X > < a : K e y V a l u e O f D i a g r a m O b j e c t K e y a n y T y p e z b w N T n L X > < a : K e y > < K e y > C o l u m n s \ H e a t   p u m p   s u b s i d i e s < / K e y > < / a : K e y > < a : V a l u e   i : t y p e = " M e a s u r e G r i d N o d e V i e w S t a t e " > < C o l u m n > 2 2 < / C o l u m n > < L a y e d O u t > t r u e < / L a y e d O u t > < / a : V a l u e > < / a : K e y V a l u e O f D i a g r a m O b j e c t K e y a n y T y p e z b w N T n L X > < a : K e y V a l u e O f D i a g r a m O b j e c t K e y a n y T y p e z b w N T n L X > < a : K e y > < K e y > C o l u m n s \ S o c i a l   l e a s i n g   H P < / K e y > < / a : K e y > < a : V a l u e   i : t y p e = " M e a s u r e G r i d N o d e V i e w S t a t e " > < C o l u m n > 2 3 < / C o l u m n > < L a y e d O u t > t r u e < / L a y e d O u t > < / a : V a l u e > < / a : K e y V a l u e O f D i a g r a m O b j e c t K e y a n y T y p e z b w N T n L X > < a : K e y V a l u e O f D i a g r a m O b j e c t K e y a n y T y p e z b w N T n L X > < a : K e y > < K e y > C o l u m n s \ S p a l t e 1 < / K e y > < / a : K e y > < a : V a l u e   i : t y p e = " M e a s u r e G r i d N o d e V i e w S t a t e " > < C o l u m n > 2 4 < / C o l u m n > < L a y e d O u t > t r u e < / L a y e d O u t > < / a : V a l u e > < / a : K e y V a l u e O f D i a g r a m O b j e c t K e y a n y T y p e z b w N T n L X > < a : K e y V a l u e O f D i a g r a m O b j e c t K e y a n y T y p e z b w N T n L X > < a : K e y > < K e y > C o l u m n s \ S p a l t e 2 < / K e y > < / a : K e y > < a : V a l u e   i : t y p e = " M e a s u r e G r i d N o d e V i e w S t a t e " > < C o l u m n > 2 5 < / C o l u m n > < L a y e d O u t > t r u e < / L a y e d O u t > < / a : V a l u e > < / a : K e y V a l u e O f D i a g r a m O b j e c t K e y a n y T y p e z b w N T n L X > < a : K e y V a l u e O f D i a g r a m O b j e c t K e y a n y T y p e z b w N T n L X > < a : K e y > < K e y > C o l u m n s \ S p a l t e 3 < / K e y > < / a : K e y > < a : V a l u e   i : t y p e = " M e a s u r e G r i d N o d e V i e w S t a t e " > < C o l u m n > 2 6 < / C o l u m n > < L a y e d O u t > t r u e < / L a y e d O u t > < / a : V a l u e > < / a : K e y V a l u e O f D i a g r a m O b j e c t K e y a n y T y p e z b w N T n L X > < a : K e y V a l u e O f D i a g r a m O b j e c t K e y a n y T y p e z b w N T n L X > < a : K e y > < K e y > C o l u m n s \ S p a l t e 4 < / K e y > < / a : K e y > < a : V a l u e   i : t y p e = " M e a s u r e G r i d N o d e V i e w S t a t e " > < C o l u m n > 2 7 < / C o l u m n > < L a y e d O u t > t r u e < / L a y e d O u t > < / a : V a l u e > < / a : K e y V a l u e O f D i a g r a m O b j e c t K e y a n y T y p e z b w N T n L X > < a : K e y V a l u e O f D i a g r a m O b j e c t K e y a n y T y p e z b w N T n L X > < a : K e y > < K e y > C o l u m n s \ S p a l t e 5 < / K e y > < / a : K e y > < a : V a l u e   i : t y p e = " M e a s u r e G r i d N o d e V i e w S t a t e " > < C o l u m n > 2 8 < / C o l u m n > < L a y e d O u t > t r u e < / L a y e d O u t > < / a : V a l u e > < / a : K e y V a l u e O f D i a g r a m O b j e c t K e y a n y T y p e z b w N T n L X > < a : K e y V a l u e O f D i a g r a m O b j e c t K e y a n y T y p e z b w N T n L X > < a : K e y > < K e y > C o l u m n s \ S p a l t e 6 < / K e y > < / a : K e y > < a : V a l u e   i : t y p e = " M e a s u r e G r i d N o d e V i e w S t a t e " > < C o l u m n > 2 9 < / C o l u m n > < L a y e d O u t > t r u e < / L a y e d O u t > < / a : V a l u e > < / a : K e y V a l u e O f D i a g r a m O b j e c t K e y a n y T y p e z b w N T n L X > < a : K e y V a l u e O f D i a g r a m O b j e c t K e y a n y T y p e z b w N T n L X > < a : K e y > < K e y > L i n k s \ & l t ; C o l u m n s \ S u m   o f   T o t a l   S C F   i n c l .   o w n   c o n t r i b u t i o n   p e r   c a p i t a & g t ; - & l t ; M e a s u r e s \ T o t a l   S C F   i n c l .   o w n   c o n t r i b u t i o n   p e r   c a p i t a & g t ; < / K e y > < / a : K e y > < a : V a l u e   i : t y p e = " M e a s u r e G r i d V i e w S t a t e I D i a g r a m L i n k " / > < / a : K e y V a l u e O f D i a g r a m O b j e c t K e y a n y T y p e z b w N T n L X > < a : K e y V a l u e O f D i a g r a m O b j e c t K e y a n y T y p e z b w N T n L X > < a : K e y > < K e y > L i n k s \ & l t ; C o l u m n s \ S u m   o f   T o t a l   S C F   i n c l .   o w n   c o n t r i b u t i o n   p e r   c a p i t a & g t ; - & l t ; M e a s u r e s \ T o t a l   S C F   i n c l .   o w n   c o n t r i b u t i o n   p e r   c a p i t a & g t ; \ C O L U M N < / K e y > < / a : K e y > < a : V a l u e   i : t y p e = " M e a s u r e G r i d V i e w S t a t e I D i a g r a m L i n k E n d p o i n t " / > < / a : K e y V a l u e O f D i a g r a m O b j e c t K e y a n y T y p e z b w N T n L X > < a : K e y V a l u e O f D i a g r a m O b j e c t K e y a n y T y p e z b w N T n L X > < a : K e y > < K e y > L i n k s \ & l t ; C o l u m n s \ S u m   o f   T o t a l   S C F   i n c l .   o w n   c o n t r i b u t i o n   p e r   c a p i t a & g t ; - & l t ; M e a s u r e s \ T o t a l   S C F   i n c l .   o w n   c o n t r i b u t i o n   p e r   c a p i t a & g t ; \ M E A S U R E < / K e y > < / a : K e y > < a : V a l u e   i : t y p e = " M e a s u r e G r i d V i e w S t a t e I D i a g r a m L i n k E n d p o i n t " / > < / a : K e y V a l u e O f D i a g r a m O b j e c t K e y a n y T y p e z b w N T n L X > < a : K e y V a l u e O f D i a g r a m O b j e c t K e y a n y T y p e z b w N T n L X > < a : K e y > < K e y > L i n k s \ & l t ; C o l u m n s \ S u m   o f   R e s t   o f   E T S 2   r e v e n u e s   a f t e r   o w n   c o n t r i b u t i o n   p e r   c a p i t a & g t ; - & l t ; M e a s u r e s \ R e s t   o f   E T S 2   r e v e n u e s   a f t e r   o w n   c o n t r i b u t i o n   p e r   c a p i t a & g t ; < / K e y > < / a : K e y > < a : V a l u e   i : t y p e = " M e a s u r e G r i d V i e w S t a t e I D i a g r a m L i n k " / > < / a : K e y V a l u e O f D i a g r a m O b j e c t K e y a n y T y p e z b w N T n L X > < a : K e y V a l u e O f D i a g r a m O b j e c t K e y a n y T y p e z b w N T n L X > < a : K e y > < K e y > L i n k s \ & l t ; C o l u m n s \ S u m   o f   R e s t   o f   E T S 2   r e v e n u e s   a f t e r   o w n   c o n t r i b u t i o n   p e r   c a p i t a & g t ; - & l t ; M e a s u r e s \ R e s t   o f   E T S 2   r e v e n u e s   a f t e r   o w n   c o n t r i b u t i o n   p e r   c a p i t a & g t ; \ C O L U M N < / K e y > < / a : K e y > < a : V a l u e   i : t y p e = " M e a s u r e G r i d V i e w S t a t e I D i a g r a m L i n k E n d p o i n t " / > < / a : K e y V a l u e O f D i a g r a m O b j e c t K e y a n y T y p e z b w N T n L X > < a : K e y V a l u e O f D i a g r a m O b j e c t K e y a n y T y p e z b w N T n L X > < a : K e y > < K e y > L i n k s \ & l t ; C o l u m n s \ S u m   o f   R e s t   o f   E T S 2   r e v e n u e s   a f t e r   o w n   c o n t r i b u t i o n   p e r   c a p i t a & g t ; - & l t ; M e a s u r e s \ R e s t   o f   E T S 2   r e v e n u e s   a f t e r   o w n   c o n t r i b u t i o n   p e r   c a p i t a & g t ; \ M E A S U R E < / K e y > < / a : K e y > < a : V a l u e   i : t y p e = " M e a s u r e G r i d V i e w S t a t e I D i a g r a m L i n k E n d p o i n t " / > < / a : K e y V a l u e O f D i a g r a m O b j e c t K e y a n y T y p e z b w N T n L X > < a : K e y V a l u e O f D i a g r a m O b j e c t K e y a n y T y p e z b w N T n L X > < a : K e y > < K e y > L i n k s \ & l t ; C o l u m n s \ S u m   o f   F r o n t l o a d i n g & g t ; - & l t ; M e a s u r e s \ F r o n t l o a d i n g & g t ; < / K e y > < / a : K e y > < a : V a l u e   i : t y p e = " M e a s u r e G r i d V i e w S t a t e I D i a g r a m L i n k " / > < / a : K e y V a l u e O f D i a g r a m O b j e c t K e y a n y T y p e z b w N T n L X > < a : K e y V a l u e O f D i a g r a m O b j e c t K e y a n y T y p e z b w N T n L X > < a : K e y > < K e y > L i n k s \ & l t ; C o l u m n s \ S u m   o f   F r o n t l o a d i n g & g t ; - & l t ; M e a s u r e s \ F r o n t l o a d i n g & g t ; \ C O L U M N < / K e y > < / a : K e y > < a : V a l u e   i : t y p e = " M e a s u r e G r i d V i e w S t a t e I D i a g r a m L i n k E n d p o i n t " / > < / a : K e y V a l u e O f D i a g r a m O b j e c t K e y a n y T y p e z b w N T n L X > < a : K e y V a l u e O f D i a g r a m O b j e c t K e y a n y T y p e z b w N T n L X > < a : K e y > < K e y > L i n k s \ & l t ; C o l u m n s \ S u m   o f   F r o n t l o a d i n g & g t ; - & l t ; M e a s u r e s \ F r o n t l o a d i n g & g t ; \ M E A S U R E < / K e y > < / a : K e y > < a : V a l u e   i : t y p e = " M e a s u r e G r i d V i e w S t a t e I D i a g r a m L i n k E n d p o i n t " / > < / a : K e y V a l u e O f D i a g r a m O b j e c t K e y a n y T y p e z b w N T n L X > < / V i e w S t a t e s > < / D i a g r a m M a n a g e r . S e r i a l i z a b l e D i a g r a m > < / A r r a y O f D i a g r a m M a n a g e r . S e r i a l i z a b l e D i a g r a m > ] ] > < / C u s t o m C o n t e n t > < / G e m i n i > 
</file>

<file path=customXml/item8.xml>��< ? x m l   v e r s i o n = " 1 . 0 "   e n c o d i n g = " U T F - 1 6 " ? > < G e m i n i   x m l n s = " h t t p : / / g e m i n i / p i v o t c u s t o m i z a t i o n / I s S a n d b o x E m b e d d e d " > < C u s t o m C o n t e n t > < ! [ C D A T A [ y e s ] ] > < / C u s t o m C o n t e n t > < / G e m i n i > 
</file>

<file path=customXml/item9.xml>��< ? x m l   v e r s i o n = " 1 . 0 "   e n c o d i n g = " U T F - 1 6 " ? > < G e m i n i   x m l n s = " h t t p : / / g e m i n i / p i v o t c u s t o m i z a t i o n / M a n u a l C a l c M o d e " > < C u s t o m C o n t e n t > < ! [ C D A T A [ F a l s e ] ] > < / C u s t o m C o n t e n t > < / G e m i n i > 
</file>

<file path=customXml/itemProps1.xml><?xml version="1.0" encoding="utf-8"?>
<ds:datastoreItem xmlns:ds="http://schemas.openxmlformats.org/officeDocument/2006/customXml" ds:itemID="{45475217-F107-472B-A950-6F2C506A95FD}">
  <ds:schemaRefs/>
</ds:datastoreItem>
</file>

<file path=customXml/itemProps10.xml><?xml version="1.0" encoding="utf-8"?>
<ds:datastoreItem xmlns:ds="http://schemas.openxmlformats.org/officeDocument/2006/customXml" ds:itemID="{8C00F479-16B6-4634-A43F-EAFC13F30D02}">
  <ds:schemaRefs/>
</ds:datastoreItem>
</file>

<file path=customXml/itemProps11.xml><?xml version="1.0" encoding="utf-8"?>
<ds:datastoreItem xmlns:ds="http://schemas.openxmlformats.org/officeDocument/2006/customXml" ds:itemID="{19226796-4104-478B-B724-C2AD46611324}">
  <ds:schemaRefs/>
</ds:datastoreItem>
</file>

<file path=customXml/itemProps12.xml><?xml version="1.0" encoding="utf-8"?>
<ds:datastoreItem xmlns:ds="http://schemas.openxmlformats.org/officeDocument/2006/customXml" ds:itemID="{39F3C71E-A4F4-46F0-B067-F059E2CA4836}">
  <ds:schemaRefs/>
</ds:datastoreItem>
</file>

<file path=customXml/itemProps13.xml><?xml version="1.0" encoding="utf-8"?>
<ds:datastoreItem xmlns:ds="http://schemas.openxmlformats.org/officeDocument/2006/customXml" ds:itemID="{E4E984F8-56E6-4DAA-8CC6-45F7757BF8CE}">
  <ds:schemaRefs/>
</ds:datastoreItem>
</file>

<file path=customXml/itemProps14.xml><?xml version="1.0" encoding="utf-8"?>
<ds:datastoreItem xmlns:ds="http://schemas.openxmlformats.org/officeDocument/2006/customXml" ds:itemID="{954EF092-5EC4-46BA-8509-31A984B91AC6}">
  <ds:schemaRefs/>
</ds:datastoreItem>
</file>

<file path=customXml/itemProps15.xml><?xml version="1.0" encoding="utf-8"?>
<ds:datastoreItem xmlns:ds="http://schemas.openxmlformats.org/officeDocument/2006/customXml" ds:itemID="{E571712A-794F-4AC1-927D-DFBF924E03D4}">
  <ds:schemaRefs/>
</ds:datastoreItem>
</file>

<file path=customXml/itemProps16.xml><?xml version="1.0" encoding="utf-8"?>
<ds:datastoreItem xmlns:ds="http://schemas.openxmlformats.org/officeDocument/2006/customXml" ds:itemID="{F73EE8C4-5005-4DB7-82DA-899A0C98491B}">
  <ds:schemaRefs/>
</ds:datastoreItem>
</file>

<file path=customXml/itemProps17.xml><?xml version="1.0" encoding="utf-8"?>
<ds:datastoreItem xmlns:ds="http://schemas.openxmlformats.org/officeDocument/2006/customXml" ds:itemID="{22650A81-F712-4416-9678-1062FCA43A0F}">
  <ds:schemaRefs/>
</ds:datastoreItem>
</file>

<file path=customXml/itemProps2.xml><?xml version="1.0" encoding="utf-8"?>
<ds:datastoreItem xmlns:ds="http://schemas.openxmlformats.org/officeDocument/2006/customXml" ds:itemID="{F302D261-08B7-4747-9640-8A4969A94B95}">
  <ds:schemaRefs>
    <ds:schemaRef ds:uri="http://schemas.microsoft.com/DataMashup"/>
  </ds:schemaRefs>
</ds:datastoreItem>
</file>

<file path=customXml/itemProps3.xml><?xml version="1.0" encoding="utf-8"?>
<ds:datastoreItem xmlns:ds="http://schemas.openxmlformats.org/officeDocument/2006/customXml" ds:itemID="{6E65C062-42AF-4953-B052-B43D19691B60}">
  <ds:schemaRefs/>
</ds:datastoreItem>
</file>

<file path=customXml/itemProps4.xml><?xml version="1.0" encoding="utf-8"?>
<ds:datastoreItem xmlns:ds="http://schemas.openxmlformats.org/officeDocument/2006/customXml" ds:itemID="{A06DCFBA-A3EC-4BE9-9870-EB9199868E78}">
  <ds:schemaRefs/>
</ds:datastoreItem>
</file>

<file path=customXml/itemProps5.xml><?xml version="1.0" encoding="utf-8"?>
<ds:datastoreItem xmlns:ds="http://schemas.openxmlformats.org/officeDocument/2006/customXml" ds:itemID="{BB3EE78A-1783-49B2-952C-4B230696CC37}">
  <ds:schemaRefs/>
</ds:datastoreItem>
</file>

<file path=customXml/itemProps6.xml><?xml version="1.0" encoding="utf-8"?>
<ds:datastoreItem xmlns:ds="http://schemas.openxmlformats.org/officeDocument/2006/customXml" ds:itemID="{BAFE9DEB-F8DA-4921-84B4-1A948053F606}">
  <ds:schemaRefs/>
</ds:datastoreItem>
</file>

<file path=customXml/itemProps7.xml><?xml version="1.0" encoding="utf-8"?>
<ds:datastoreItem xmlns:ds="http://schemas.openxmlformats.org/officeDocument/2006/customXml" ds:itemID="{839366AA-3165-43BF-B017-D37A40E676ED}">
  <ds:schemaRefs/>
</ds:datastoreItem>
</file>

<file path=customXml/itemProps8.xml><?xml version="1.0" encoding="utf-8"?>
<ds:datastoreItem xmlns:ds="http://schemas.openxmlformats.org/officeDocument/2006/customXml" ds:itemID="{3EA182FA-FE9B-4AFB-A4A9-E56C172D394E}">
  <ds:schemaRefs/>
</ds:datastoreItem>
</file>

<file path=customXml/itemProps9.xml><?xml version="1.0" encoding="utf-8"?>
<ds:datastoreItem xmlns:ds="http://schemas.openxmlformats.org/officeDocument/2006/customXml" ds:itemID="{1ADE0B7B-7379-4897-9694-E6417CA1AFD0}">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Info</vt:lpstr>
      <vt:lpstr>Manual</vt:lpstr>
      <vt:lpstr>Dashboard</vt:lpstr>
      <vt:lpstr>Revenues</vt:lpstr>
      <vt:lpstr>Spending</vt:lpstr>
      <vt:lpstr>Tables</vt:lpstr>
      <vt:lpstr>All-data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Murielle Gagnebin</dc:creator>
  <cp:lastModifiedBy>Murielle Gagnebin</cp:lastModifiedBy>
  <dcterms:created xsi:type="dcterms:W3CDTF">2025-02-05T11:24:25Z</dcterms:created>
  <dcterms:modified xsi:type="dcterms:W3CDTF">2025-12-16T13:34:45Z</dcterms:modified>
</cp:coreProperties>
</file>